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Niels\Documents\Dommy\"/>
    </mc:Choice>
  </mc:AlternateContent>
  <xr:revisionPtr revIDLastSave="0" documentId="13_ncr:1_{C56CB5B7-C2FB-4DEC-9083-239E49EB6855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Emissioner" sheetId="3" r:id="rId1"/>
    <sheet name="Afgiftsprovenu" sheetId="4" r:id="rId2"/>
    <sheet name="Samfundsøkonomi" sheetId="2" r:id="rId3"/>
  </sheets>
  <definedNames>
    <definedName name="_xlnm.Print_Area" localSheetId="1">Afgiftsprovenu!$A$1:$U$38</definedName>
    <definedName name="_xlnm.Print_Area" localSheetId="0">Emissioner!$A$1:$U$38</definedName>
    <definedName name="_xlnm.Print_Area" localSheetId="2">Samfundsøkonomi!$A$1:$U$55</definedName>
  </definedNames>
  <calcPr calcId="191029" calcMode="autoNoTable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4" l="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B28" i="4"/>
  <c r="C15" i="3"/>
  <c r="G15" i="3"/>
  <c r="F15" i="3"/>
  <c r="E15" i="3"/>
  <c r="D15" i="3"/>
  <c r="B15" i="3"/>
  <c r="G14" i="3"/>
  <c r="F14" i="3"/>
  <c r="E14" i="3"/>
  <c r="D14" i="3"/>
  <c r="C14" i="3"/>
  <c r="B14" i="3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V28" i="4"/>
  <c r="B27" i="4"/>
  <c r="B48" i="4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C41" i="2"/>
  <c r="C45" i="2" s="1"/>
  <c r="C49" i="2" s="1"/>
  <c r="C38" i="2"/>
  <c r="B41" i="2"/>
  <c r="B45" i="2" s="1"/>
  <c r="B49" i="2" s="1"/>
  <c r="B38" i="2"/>
  <c r="B39" i="2" l="1"/>
  <c r="B46" i="2" s="1"/>
  <c r="B50" i="2" s="1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7" i="2"/>
  <c r="B26" i="2"/>
  <c r="C46" i="2" l="1"/>
  <c r="D46" i="2"/>
  <c r="E46" i="2"/>
  <c r="F46" i="2"/>
  <c r="G46" i="2"/>
  <c r="H46" i="2"/>
  <c r="H50" i="2" s="1"/>
  <c r="I46" i="2"/>
  <c r="J46" i="2"/>
  <c r="K46" i="2"/>
  <c r="L46" i="2"/>
  <c r="M46" i="2"/>
  <c r="N46" i="2"/>
  <c r="O46" i="2"/>
  <c r="P46" i="2"/>
  <c r="P50" i="2" s="1"/>
  <c r="Q46" i="2"/>
  <c r="R46" i="2"/>
  <c r="S46" i="2"/>
  <c r="T46" i="2"/>
  <c r="U46" i="2"/>
  <c r="B49" i="4"/>
  <c r="D30" i="4" s="1"/>
  <c r="B30" i="4"/>
  <c r="J30" i="4"/>
  <c r="B7" i="3"/>
  <c r="B20" i="3" s="1"/>
  <c r="D45" i="2"/>
  <c r="E45" i="2"/>
  <c r="F45" i="2"/>
  <c r="G45" i="2"/>
  <c r="H45" i="2"/>
  <c r="H49" i="2" s="1"/>
  <c r="I45" i="2"/>
  <c r="J45" i="2"/>
  <c r="K45" i="2"/>
  <c r="L45" i="2"/>
  <c r="M45" i="2"/>
  <c r="N45" i="2"/>
  <c r="O45" i="2"/>
  <c r="P45" i="2"/>
  <c r="P49" i="2" s="1"/>
  <c r="Q45" i="2"/>
  <c r="R45" i="2"/>
  <c r="S45" i="2"/>
  <c r="T45" i="2"/>
  <c r="U45" i="2"/>
  <c r="B41" i="4"/>
  <c r="B42" i="4"/>
  <c r="C41" i="4"/>
  <c r="C42" i="4"/>
  <c r="C43" i="4"/>
  <c r="B43" i="4"/>
  <c r="E42" i="4"/>
  <c r="E43" i="4"/>
  <c r="E44" i="4"/>
  <c r="E45" i="4"/>
  <c r="E46" i="4"/>
  <c r="E47" i="4"/>
  <c r="E48" i="4"/>
  <c r="E49" i="4"/>
  <c r="E41" i="4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B22" i="2"/>
  <c r="B21" i="2"/>
  <c r="C21" i="2"/>
  <c r="D21" i="2"/>
  <c r="D50" i="2" s="1"/>
  <c r="E21" i="2"/>
  <c r="F21" i="2"/>
  <c r="G21" i="2"/>
  <c r="H21" i="2"/>
  <c r="I21" i="2"/>
  <c r="J21" i="2"/>
  <c r="K21" i="2"/>
  <c r="L21" i="2"/>
  <c r="L50" i="2" s="1"/>
  <c r="M21" i="2"/>
  <c r="N21" i="2"/>
  <c r="O21" i="2"/>
  <c r="P21" i="2"/>
  <c r="Q21" i="2"/>
  <c r="R21" i="2"/>
  <c r="R50" i="2" s="1"/>
  <c r="S21" i="2"/>
  <c r="T21" i="2"/>
  <c r="T50" i="2" s="1"/>
  <c r="U21" i="2"/>
  <c r="C44" i="4"/>
  <c r="C45" i="4"/>
  <c r="C46" i="4"/>
  <c r="C47" i="4"/>
  <c r="B44" i="4"/>
  <c r="B45" i="4"/>
  <c r="B46" i="4"/>
  <c r="B47" i="4"/>
  <c r="E11" i="4"/>
  <c r="C8" i="4"/>
  <c r="C9" i="4"/>
  <c r="D29" i="3"/>
  <c r="B29" i="3"/>
  <c r="C29" i="3"/>
  <c r="F29" i="3"/>
  <c r="J29" i="3"/>
  <c r="K29" i="3"/>
  <c r="N29" i="3"/>
  <c r="O29" i="3"/>
  <c r="R29" i="3"/>
  <c r="S29" i="3"/>
  <c r="T29" i="3"/>
  <c r="U29" i="3"/>
  <c r="B30" i="3"/>
  <c r="D30" i="3"/>
  <c r="P30" i="3"/>
  <c r="I30" i="3"/>
  <c r="Q30" i="3"/>
  <c r="F19" i="4"/>
  <c r="A35" i="2"/>
  <c r="A50" i="2" s="1"/>
  <c r="A34" i="2"/>
  <c r="A49" i="2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C19" i="2"/>
  <c r="D19" i="2" s="1"/>
  <c r="C57" i="2"/>
  <c r="B57" i="2"/>
  <c r="A38" i="3"/>
  <c r="A37" i="3"/>
  <c r="C13" i="3"/>
  <c r="D13" i="3"/>
  <c r="E13" i="3"/>
  <c r="F13" i="3"/>
  <c r="G13" i="3"/>
  <c r="B13" i="3"/>
  <c r="A55" i="2"/>
  <c r="A54" i="2"/>
  <c r="A46" i="2"/>
  <c r="A45" i="2"/>
  <c r="A42" i="2"/>
  <c r="A41" i="2"/>
  <c r="A38" i="2"/>
  <c r="B18" i="4"/>
  <c r="U50" i="2" l="1"/>
  <c r="N50" i="2"/>
  <c r="M50" i="2"/>
  <c r="E50" i="2"/>
  <c r="J50" i="2"/>
  <c r="O50" i="2"/>
  <c r="G50" i="2"/>
  <c r="P30" i="4"/>
  <c r="H30" i="4"/>
  <c r="H34" i="4" s="1"/>
  <c r="Q30" i="4"/>
  <c r="U30" i="4"/>
  <c r="O30" i="4"/>
  <c r="U34" i="4"/>
  <c r="N30" i="4"/>
  <c r="G30" i="4"/>
  <c r="B34" i="4"/>
  <c r="T30" i="4"/>
  <c r="M30" i="4"/>
  <c r="F30" i="4"/>
  <c r="I30" i="4"/>
  <c r="S30" i="4"/>
  <c r="L30" i="4"/>
  <c r="E30" i="4"/>
  <c r="R30" i="4"/>
  <c r="R34" i="4" s="1"/>
  <c r="K30" i="4"/>
  <c r="C30" i="4"/>
  <c r="D33" i="4"/>
  <c r="D34" i="4"/>
  <c r="Q34" i="4"/>
  <c r="K50" i="2"/>
  <c r="T34" i="4"/>
  <c r="C34" i="4"/>
  <c r="S50" i="2"/>
  <c r="M34" i="4"/>
  <c r="J34" i="4"/>
  <c r="F34" i="4"/>
  <c r="Q50" i="2"/>
  <c r="I50" i="2"/>
  <c r="I34" i="4"/>
  <c r="O34" i="4"/>
  <c r="L34" i="4"/>
  <c r="M33" i="4"/>
  <c r="K33" i="4"/>
  <c r="B33" i="4"/>
  <c r="O33" i="4"/>
  <c r="U33" i="4"/>
  <c r="F33" i="4"/>
  <c r="Q33" i="4"/>
  <c r="J33" i="4"/>
  <c r="I33" i="4"/>
  <c r="T33" i="4"/>
  <c r="N33" i="4"/>
  <c r="C33" i="4"/>
  <c r="L33" i="4"/>
  <c r="I30" i="2"/>
  <c r="I34" i="2"/>
  <c r="P31" i="2"/>
  <c r="P35" i="2"/>
  <c r="H31" i="2"/>
  <c r="H35" i="2"/>
  <c r="Q30" i="2"/>
  <c r="Q34" i="2"/>
  <c r="O34" i="2"/>
  <c r="O30" i="2"/>
  <c r="G34" i="2"/>
  <c r="G30" i="2"/>
  <c r="B30" i="2"/>
  <c r="B34" i="2"/>
  <c r="N30" i="2"/>
  <c r="N34" i="2"/>
  <c r="F30" i="2"/>
  <c r="F34" i="2"/>
  <c r="J34" i="2"/>
  <c r="J30" i="2"/>
  <c r="M30" i="2"/>
  <c r="M34" i="2"/>
  <c r="E30" i="2"/>
  <c r="E34" i="2"/>
  <c r="B33" i="3"/>
  <c r="J33" i="3"/>
  <c r="R33" i="3"/>
  <c r="C33" i="3"/>
  <c r="K33" i="3"/>
  <c r="S33" i="3"/>
  <c r="P34" i="3"/>
  <c r="D33" i="3"/>
  <c r="T33" i="3"/>
  <c r="I34" i="3"/>
  <c r="Q34" i="3"/>
  <c r="U33" i="3"/>
  <c r="B34" i="3"/>
  <c r="F33" i="3"/>
  <c r="N33" i="3"/>
  <c r="O33" i="3"/>
  <c r="D34" i="3"/>
  <c r="R34" i="2"/>
  <c r="R30" i="2"/>
  <c r="U30" i="2"/>
  <c r="U34" i="2"/>
  <c r="T31" i="2"/>
  <c r="T35" i="2"/>
  <c r="L31" i="2"/>
  <c r="L35" i="2"/>
  <c r="D31" i="2"/>
  <c r="D35" i="2"/>
  <c r="D57" i="2"/>
  <c r="E19" i="2"/>
  <c r="F50" i="2"/>
  <c r="S34" i="2"/>
  <c r="S30" i="2"/>
  <c r="K34" i="2"/>
  <c r="K30" i="2"/>
  <c r="C34" i="2"/>
  <c r="C30" i="2"/>
  <c r="H30" i="3"/>
  <c r="H34" i="3" s="1"/>
  <c r="U49" i="2"/>
  <c r="M49" i="2"/>
  <c r="E49" i="2"/>
  <c r="O30" i="3"/>
  <c r="O34" i="3" s="1"/>
  <c r="G30" i="3"/>
  <c r="G34" i="3" s="1"/>
  <c r="Q29" i="3"/>
  <c r="Q33" i="3" s="1"/>
  <c r="I29" i="3"/>
  <c r="I33" i="3" s="1"/>
  <c r="R49" i="2"/>
  <c r="J49" i="2"/>
  <c r="N30" i="3"/>
  <c r="N34" i="3" s="1"/>
  <c r="F30" i="3"/>
  <c r="F34" i="3" s="1"/>
  <c r="P29" i="3"/>
  <c r="P33" i="3" s="1"/>
  <c r="H29" i="3"/>
  <c r="H33" i="3" s="1"/>
  <c r="O49" i="2"/>
  <c r="G49" i="2"/>
  <c r="U30" i="3"/>
  <c r="U34" i="3" s="1"/>
  <c r="M30" i="3"/>
  <c r="M34" i="3" s="1"/>
  <c r="E30" i="3"/>
  <c r="E34" i="3" s="1"/>
  <c r="G29" i="3"/>
  <c r="G33" i="3" s="1"/>
  <c r="T49" i="2"/>
  <c r="L49" i="2"/>
  <c r="D49" i="2"/>
  <c r="C50" i="2"/>
  <c r="T30" i="3"/>
  <c r="T34" i="3" s="1"/>
  <c r="L30" i="3"/>
  <c r="L34" i="3" s="1"/>
  <c r="Q49" i="2"/>
  <c r="I49" i="2"/>
  <c r="S30" i="3"/>
  <c r="S34" i="3" s="1"/>
  <c r="K30" i="3"/>
  <c r="K34" i="3" s="1"/>
  <c r="C30" i="3"/>
  <c r="C34" i="3" s="1"/>
  <c r="M29" i="3"/>
  <c r="M33" i="3" s="1"/>
  <c r="E29" i="3"/>
  <c r="E33" i="3" s="1"/>
  <c r="N49" i="2"/>
  <c r="F49" i="2"/>
  <c r="R30" i="3"/>
  <c r="R34" i="3" s="1"/>
  <c r="J30" i="3"/>
  <c r="J34" i="3" s="1"/>
  <c r="L29" i="3"/>
  <c r="L33" i="3" s="1"/>
  <c r="S49" i="2"/>
  <c r="K49" i="2"/>
  <c r="H33" i="4" l="1"/>
  <c r="E34" i="4"/>
  <c r="B38" i="4" s="1"/>
  <c r="E55" i="2" s="1"/>
  <c r="P34" i="4"/>
  <c r="N34" i="4"/>
  <c r="P33" i="4"/>
  <c r="G33" i="4"/>
  <c r="G34" i="4"/>
  <c r="E33" i="4"/>
  <c r="R33" i="4"/>
  <c r="S34" i="4"/>
  <c r="S33" i="4"/>
  <c r="K34" i="4"/>
  <c r="C55" i="2"/>
  <c r="S35" i="2"/>
  <c r="S31" i="2"/>
  <c r="M31" i="2"/>
  <c r="M35" i="2"/>
  <c r="F35" i="2"/>
  <c r="F31" i="2"/>
  <c r="H30" i="2"/>
  <c r="H34" i="2"/>
  <c r="Q31" i="2"/>
  <c r="Q35" i="2"/>
  <c r="J31" i="2"/>
  <c r="J35" i="2"/>
  <c r="L34" i="2"/>
  <c r="L30" i="2"/>
  <c r="B37" i="3"/>
  <c r="I31" i="2"/>
  <c r="I35" i="2"/>
  <c r="D34" i="2"/>
  <c r="D30" i="2"/>
  <c r="E57" i="2"/>
  <c r="F19" i="2"/>
  <c r="U31" i="2"/>
  <c r="U35" i="2"/>
  <c r="N35" i="2"/>
  <c r="N31" i="2"/>
  <c r="C35" i="2"/>
  <c r="C31" i="2"/>
  <c r="P30" i="2"/>
  <c r="P34" i="2"/>
  <c r="R31" i="2"/>
  <c r="R35" i="2"/>
  <c r="C54" i="2"/>
  <c r="G35" i="2"/>
  <c r="G31" i="2"/>
  <c r="T34" i="2"/>
  <c r="T30" i="2"/>
  <c r="E31" i="2"/>
  <c r="E35" i="2"/>
  <c r="B31" i="2"/>
  <c r="B35" i="2"/>
  <c r="K31" i="2"/>
  <c r="K35" i="2"/>
  <c r="B38" i="3"/>
  <c r="D55" i="2" s="1"/>
  <c r="O35" i="2"/>
  <c r="O31" i="2"/>
  <c r="B37" i="4" l="1"/>
  <c r="E54" i="2" s="1"/>
  <c r="B54" i="2"/>
  <c r="F57" i="2"/>
  <c r="G19" i="2"/>
  <c r="B55" i="2"/>
  <c r="F55" i="2" s="1"/>
  <c r="G55" i="2" s="1"/>
  <c r="D54" i="2"/>
  <c r="C38" i="3"/>
  <c r="C38" i="4" l="1"/>
  <c r="F54" i="2"/>
  <c r="H19" i="2"/>
  <c r="G57" i="2"/>
  <c r="H57" i="2" l="1"/>
  <c r="I19" i="2"/>
  <c r="I57" i="2" l="1"/>
  <c r="J19" i="2"/>
  <c r="K19" i="2" l="1"/>
  <c r="J57" i="2"/>
  <c r="L19" i="2" l="1"/>
  <c r="K57" i="2"/>
  <c r="L57" i="2" l="1"/>
  <c r="M19" i="2"/>
  <c r="M57" i="2" l="1"/>
  <c r="N19" i="2"/>
  <c r="O19" i="2" l="1"/>
  <c r="N57" i="2"/>
  <c r="P19" i="2" l="1"/>
  <c r="O57" i="2"/>
  <c r="Q19" i="2" l="1"/>
  <c r="P57" i="2"/>
  <c r="Q57" i="2" l="1"/>
  <c r="R19" i="2"/>
  <c r="S19" i="2" l="1"/>
  <c r="R57" i="2"/>
  <c r="T19" i="2" l="1"/>
  <c r="S57" i="2"/>
  <c r="T57" i="2" l="1"/>
  <c r="U19" i="2"/>
  <c r="U57" i="2" s="1"/>
</calcChain>
</file>

<file path=xl/sharedStrings.xml><?xml version="1.0" encoding="utf-8"?>
<sst xmlns="http://schemas.openxmlformats.org/spreadsheetml/2006/main" count="162" uniqueCount="93">
  <si>
    <t>Projektet</t>
  </si>
  <si>
    <t xml:space="preserve">Naturgas </t>
  </si>
  <si>
    <t xml:space="preserve">Flis </t>
  </si>
  <si>
    <t xml:space="preserve">Projektet </t>
  </si>
  <si>
    <t xml:space="preserve">Investering  </t>
  </si>
  <si>
    <t>Brændsel</t>
  </si>
  <si>
    <t>Produktionsfordeling</t>
  </si>
  <si>
    <t>Varme MWh</t>
  </si>
  <si>
    <t>MWh</t>
  </si>
  <si>
    <t>Fliskedel</t>
  </si>
  <si>
    <t>Fliskedel (kr./MWh)</t>
  </si>
  <si>
    <t>Kedel 1</t>
  </si>
  <si>
    <t>Kedel 2</t>
  </si>
  <si>
    <t>Gasmotorvarmepumpe</t>
  </si>
  <si>
    <t>Emissionerskoefficienter</t>
  </si>
  <si>
    <t>Flis</t>
  </si>
  <si>
    <t>Gasmotor</t>
  </si>
  <si>
    <t>Gaskedel</t>
  </si>
  <si>
    <t>CH4 (kr./kg)</t>
  </si>
  <si>
    <t>N2O (kr./kg)</t>
  </si>
  <si>
    <t>Emissioner (kr./år)</t>
  </si>
  <si>
    <t xml:space="preserve">År </t>
  </si>
  <si>
    <t>År</t>
  </si>
  <si>
    <t xml:space="preserve">Samfundsøkonomiske brændselspriser </t>
  </si>
  <si>
    <t>Naturgas  (kr./GJ)</t>
  </si>
  <si>
    <t>Flis  (kr./GJ)</t>
  </si>
  <si>
    <t>Referencen</t>
  </si>
  <si>
    <t>Investering og driftsudgifter pr. år inkl. nettoafgiftsfaktor (kr.)</t>
  </si>
  <si>
    <t xml:space="preserve"> </t>
  </si>
  <si>
    <t>CH4 (g/GJ)</t>
  </si>
  <si>
    <t>N2O (g/GJ)</t>
  </si>
  <si>
    <t>SO2 (g/GJ)</t>
  </si>
  <si>
    <t>PM 2,5 (g/GJ)</t>
  </si>
  <si>
    <t>NOX (g/GJ)</t>
  </si>
  <si>
    <t>CO2 (Kg/GJ)</t>
  </si>
  <si>
    <t>Gaskedel 1 (kr./MWh)</t>
  </si>
  <si>
    <t>Gaskedel 2 (kr./MWh)</t>
  </si>
  <si>
    <t>Gasmotorvarmepumpe (kr./MWh)</t>
  </si>
  <si>
    <t>Samlede emissioner</t>
  </si>
  <si>
    <t>Værdi af emissioner (kr./enhed)</t>
  </si>
  <si>
    <t>CO2 (kr./ton)</t>
  </si>
  <si>
    <t>SO2 (kr./kg)</t>
  </si>
  <si>
    <t>NOX (kr./kg)</t>
  </si>
  <si>
    <t>PM 2,5 (kr./kg)</t>
  </si>
  <si>
    <t>Nutidsværdi over 20 år (kr.)</t>
  </si>
  <si>
    <t xml:space="preserve">Afgifter 2016 faste priser (kr./(GJ) </t>
  </si>
  <si>
    <t>Afgiftsprovenu (kr./år)</t>
  </si>
  <si>
    <t>Træflis (kr./GJ)</t>
  </si>
  <si>
    <t>Energiafgifter (kr./GJ)</t>
  </si>
  <si>
    <t>CO2 afgift (kr./GJ)</t>
  </si>
  <si>
    <t>I alt:</t>
  </si>
  <si>
    <t>NOX afgift (kr./GJ)</t>
  </si>
  <si>
    <t xml:space="preserve">Naturgaskedel </t>
  </si>
  <si>
    <t xml:space="preserve">Referencen </t>
  </si>
  <si>
    <t>Metan (kr./GJ)</t>
  </si>
  <si>
    <t>Drift og vedligeholdelse</t>
  </si>
  <si>
    <t>Nutidsværdi af brændselsudgift, samt drift- og investeringsudgift over 20 år i henhold til Energistyrelsens vejledning</t>
  </si>
  <si>
    <t>Produktionsomkostninger pr. år inkl. drift, brændsel og nettoafgiftsfaktor (NAF) (kr./år)</t>
  </si>
  <si>
    <t>Kalkulationsrente p.a.:</t>
  </si>
  <si>
    <t>Nutidsværdi af emissioner (kr.)</t>
  </si>
  <si>
    <t>Besparelse</t>
  </si>
  <si>
    <t>Nutidsværdi af investering og driftsudgifter pr. år inkl. nettoafgiftsfaktor (kr.)</t>
  </si>
  <si>
    <t>I alt</t>
  </si>
  <si>
    <t>Nutidsværdi af afgiftsprovenu (kr./år)</t>
  </si>
  <si>
    <t>Difference</t>
  </si>
  <si>
    <t>Inv. og D&amp;V</t>
  </si>
  <si>
    <t>Data:</t>
  </si>
  <si>
    <t>Afgifter</t>
  </si>
  <si>
    <t>Nutidsværdi over 20 år samlet</t>
  </si>
  <si>
    <t>Investering</t>
  </si>
  <si>
    <t>Bilag 5: Emissioner</t>
  </si>
  <si>
    <t>Bilag 6: Afgiftsniveau</t>
  </si>
  <si>
    <t>Bilag 7: Samfundsøkonomi</t>
  </si>
  <si>
    <t>Forbrugt brændsel pr. år (kr.)</t>
  </si>
  <si>
    <t>Nutidsværdi af forbrugt brændsel pr. år (kr.)</t>
  </si>
  <si>
    <t>Gaskedelvarme</t>
  </si>
  <si>
    <t>Flisvarme</t>
  </si>
  <si>
    <t xml:space="preserve">Omregningsfaktor </t>
  </si>
  <si>
    <t>Årligt energi output</t>
  </si>
  <si>
    <t>Kr.</t>
  </si>
  <si>
    <t>Nettoafgiftsfaktor</t>
  </si>
  <si>
    <t>Virkningsgrad</t>
  </si>
  <si>
    <t>Kr./MWh</t>
  </si>
  <si>
    <t>Kedel</t>
  </si>
  <si>
    <t>Emissioner</t>
  </si>
  <si>
    <t>Kalkulationsrente</t>
  </si>
  <si>
    <t>MWh til GJ</t>
  </si>
  <si>
    <t>NAF</t>
  </si>
  <si>
    <t>%</t>
  </si>
  <si>
    <t>MWh/år</t>
  </si>
  <si>
    <t>Drift og vedligehold:</t>
  </si>
  <si>
    <t>Enhed</t>
  </si>
  <si>
    <t>Investering samt drift og vedligehold (D&amp;V)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</si>
</sst>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333399"/>
      <name val="Tahoma"/>
      <family val="2"/>
    </font>
    <font>
      <b/>
      <sz val="9"/>
      <color rgb="FF333399"/>
      <name val="Tahoma"/>
      <family val="2"/>
    </font>
    <font>
      <b/>
      <sz val="14"/>
      <color rgb="FF333399"/>
      <name val="Tahoma"/>
      <family val="2"/>
    </font>
    <font>
      <i/>
      <sz val="9"/>
      <color rgb="FF33339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2"/>
    </xf>
    <xf numFmtId="0" fontId="4" fillId="0" borderId="1" xfId="0" applyFont="1" applyBorder="1" applyAlignment="1">
      <alignment horizontal="right" indent="2"/>
    </xf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 indent="2"/>
    </xf>
    <xf numFmtId="3" fontId="4" fillId="0" borderId="0" xfId="0" applyNumberFormat="1" applyFont="1" applyAlignment="1">
      <alignment horizontal="right" indent="2"/>
    </xf>
    <xf numFmtId="4" fontId="4" fillId="0" borderId="0" xfId="0" applyNumberFormat="1" applyFont="1" applyAlignment="1">
      <alignment horizontal="right" indent="2"/>
    </xf>
    <xf numFmtId="10" fontId="4" fillId="0" borderId="1" xfId="1" applyNumberFormat="1" applyFont="1" applyBorder="1" applyAlignment="1">
      <alignment horizontal="right" indent="2"/>
    </xf>
    <xf numFmtId="0" fontId="4" fillId="0" borderId="1" xfId="0" applyFont="1" applyBorder="1" applyAlignment="1">
      <alignment horizontal="left" indent="1"/>
    </xf>
    <xf numFmtId="4" fontId="4" fillId="0" borderId="1" xfId="0" applyNumberFormat="1" applyFont="1" applyBorder="1" applyAlignment="1">
      <alignment horizontal="right" indent="2"/>
    </xf>
    <xf numFmtId="0" fontId="5" fillId="0" borderId="1" xfId="0" applyFont="1" applyBorder="1" applyAlignment="1">
      <alignment horizontal="left" indent="1"/>
    </xf>
    <xf numFmtId="4" fontId="4" fillId="0" borderId="1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 indent="1"/>
    </xf>
    <xf numFmtId="4" fontId="4" fillId="0" borderId="0" xfId="0" applyNumberFormat="1" applyFont="1" applyAlignment="1">
      <alignment horizontal="right" indent="1"/>
    </xf>
    <xf numFmtId="0" fontId="4" fillId="0" borderId="1" xfId="0" applyFont="1" applyBorder="1" applyAlignment="1">
      <alignment horizontal="right" indent="1"/>
    </xf>
    <xf numFmtId="10" fontId="4" fillId="0" borderId="1" xfId="1" applyNumberFormat="1" applyFont="1" applyBorder="1" applyAlignment="1">
      <alignment horizontal="right" indent="1"/>
    </xf>
    <xf numFmtId="4" fontId="4" fillId="0" borderId="1" xfId="0" applyNumberFormat="1" applyFont="1" applyBorder="1" applyAlignment="1">
      <alignment horizontal="right" indent="1"/>
    </xf>
    <xf numFmtId="0" fontId="4" fillId="0" borderId="1" xfId="0" applyFont="1" applyBorder="1"/>
    <xf numFmtId="164" fontId="4" fillId="0" borderId="0" xfId="0" applyNumberFormat="1" applyFont="1" applyAlignment="1">
      <alignment horizontal="right" indent="2"/>
    </xf>
    <xf numFmtId="164" fontId="4" fillId="0" borderId="1" xfId="0" applyNumberFormat="1" applyFont="1" applyBorder="1" applyAlignment="1">
      <alignment horizontal="right" indent="2"/>
    </xf>
    <xf numFmtId="3" fontId="4" fillId="0" borderId="0" xfId="0" applyNumberFormat="1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 indent="2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0" fontId="4" fillId="0" borderId="1" xfId="1" applyNumberFormat="1" applyFont="1" applyBorder="1" applyAlignment="1">
      <alignment horizontal="left" indent="1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2"/>
    </xf>
    <xf numFmtId="0" fontId="5" fillId="0" borderId="0" xfId="0" applyFont="1" applyAlignment="1">
      <alignment horizontal="left" indent="1"/>
    </xf>
    <xf numFmtId="2" fontId="4" fillId="0" borderId="0" xfId="0" applyNumberFormat="1" applyFont="1" applyAlignment="1">
      <alignment horizontal="right" indent="1"/>
    </xf>
    <xf numFmtId="2" fontId="4" fillId="0" borderId="0" xfId="0" applyNumberFormat="1" applyFont="1"/>
    <xf numFmtId="0" fontId="6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2"/>
    </xf>
    <xf numFmtId="0" fontId="4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2" fontId="4" fillId="0" borderId="1" xfId="0" applyNumberFormat="1" applyFont="1" applyBorder="1" applyAlignment="1"/>
    <xf numFmtId="2" fontId="4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/>
    <xf numFmtId="4" fontId="4" fillId="0" borderId="0" xfId="0" applyNumberFormat="1" applyFont="1" applyBorder="1" applyAlignment="1">
      <alignment horizontal="right" indent="1"/>
    </xf>
    <xf numFmtId="2" fontId="4" fillId="0" borderId="1" xfId="0" applyNumberFormat="1" applyFont="1" applyFill="1" applyBorder="1" applyAlignment="1"/>
    <xf numFmtId="3" fontId="4" fillId="0" borderId="0" xfId="0" applyNumberFormat="1" applyFont="1" applyAlignment="1">
      <alignment horizontal="right" indent="1"/>
    </xf>
    <xf numFmtId="1" fontId="4" fillId="0" borderId="1" xfId="0" applyNumberFormat="1" applyFont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3" fontId="4" fillId="3" borderId="1" xfId="0" applyNumberFormat="1" applyFont="1" applyFill="1" applyBorder="1" applyAlignment="1">
      <alignment horizontal="right" indent="1"/>
    </xf>
    <xf numFmtId="2" fontId="4" fillId="0" borderId="1" xfId="0" applyNumberFormat="1" applyFont="1" applyBorder="1" applyAlignment="1">
      <alignment horizontal="left" indent="1"/>
    </xf>
    <xf numFmtId="2" fontId="4" fillId="0" borderId="1" xfId="0" applyNumberFormat="1" applyFont="1" applyFill="1" applyBorder="1" applyAlignment="1">
      <alignment horizontal="left" indent="1"/>
    </xf>
    <xf numFmtId="2" fontId="4" fillId="0" borderId="0" xfId="0" applyNumberFormat="1" applyFont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4" fontId="4" fillId="3" borderId="1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</cellXfs>
  <cellStyles count="38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E43"/>
  <sheetViews>
    <sheetView topLeftCell="A8" workbookViewId="0">
      <selection activeCell="B10" sqref="B10"/>
    </sheetView>
  </sheetViews>
  <sheetFormatPr defaultColWidth="10.81640625" defaultRowHeight="11.5" x14ac:dyDescent="0.25"/>
  <cols>
    <col min="1" max="1" width="22.6328125" style="3" customWidth="1"/>
    <col min="2" max="21" width="12.1796875" style="7" customWidth="1"/>
    <col min="22" max="29" width="10.81640625" style="7"/>
    <col min="30" max="16384" width="10.81640625" style="1"/>
  </cols>
  <sheetData>
    <row r="3" spans="1:7" ht="14.5" customHeight="1" x14ac:dyDescent="0.35">
      <c r="B3" s="7" t="s">
        <v>28</v>
      </c>
      <c r="C3" s="40" t="s">
        <v>28</v>
      </c>
      <c r="D3" s="65" t="s">
        <v>70</v>
      </c>
      <c r="E3" s="65"/>
      <c r="F3" s="65"/>
    </row>
    <row r="6" spans="1:7" x14ac:dyDescent="0.25">
      <c r="A6" s="2"/>
    </row>
    <row r="7" spans="1:7" hidden="1" x14ac:dyDescent="0.25">
      <c r="A7" s="4" t="s">
        <v>58</v>
      </c>
      <c r="B7" s="13">
        <f>Samfundsøkonomi!C16</f>
        <v>0.04</v>
      </c>
      <c r="C7" s="7" t="s">
        <v>28</v>
      </c>
    </row>
    <row r="8" spans="1:7" x14ac:dyDescent="0.25">
      <c r="A8" s="16" t="s">
        <v>14</v>
      </c>
      <c r="B8" s="5" t="s">
        <v>34</v>
      </c>
      <c r="C8" s="5" t="s">
        <v>29</v>
      </c>
      <c r="D8" s="5" t="s">
        <v>30</v>
      </c>
      <c r="E8" s="5" t="s">
        <v>31</v>
      </c>
      <c r="F8" s="5" t="s">
        <v>33</v>
      </c>
      <c r="G8" s="5" t="s">
        <v>32</v>
      </c>
    </row>
    <row r="9" spans="1:7" x14ac:dyDescent="0.25">
      <c r="A9" s="4" t="s">
        <v>15</v>
      </c>
      <c r="B9" s="8">
        <v>100</v>
      </c>
      <c r="C9" s="8">
        <v>11</v>
      </c>
      <c r="D9" s="8">
        <v>4</v>
      </c>
      <c r="E9" s="8">
        <v>11</v>
      </c>
      <c r="F9" s="8">
        <v>90</v>
      </c>
      <c r="G9" s="8">
        <v>10</v>
      </c>
    </row>
    <row r="10" spans="1:7" x14ac:dyDescent="0.25">
      <c r="A10" s="4" t="s">
        <v>16</v>
      </c>
      <c r="B10" s="8">
        <v>57.1</v>
      </c>
      <c r="C10" s="8">
        <v>481</v>
      </c>
      <c r="D10" s="8">
        <v>0.6</v>
      </c>
      <c r="E10" s="8">
        <v>0.5</v>
      </c>
      <c r="F10" s="8">
        <v>135</v>
      </c>
      <c r="G10" s="8">
        <v>0.16</v>
      </c>
    </row>
    <row r="11" spans="1:7" x14ac:dyDescent="0.25">
      <c r="A11" s="4" t="s">
        <v>17</v>
      </c>
      <c r="B11" s="8">
        <v>57.1</v>
      </c>
      <c r="C11" s="8">
        <v>1</v>
      </c>
      <c r="D11" s="8">
        <v>1</v>
      </c>
      <c r="E11" s="8">
        <v>0.4</v>
      </c>
      <c r="F11" s="8">
        <v>33</v>
      </c>
      <c r="G11" s="8">
        <v>0.1</v>
      </c>
    </row>
    <row r="13" spans="1:7" x14ac:dyDescent="0.25">
      <c r="A13" s="16" t="s">
        <v>38</v>
      </c>
      <c r="B13" s="5" t="str">
        <f>B8</f>
        <v>CO2 (Kg/GJ)</v>
      </c>
      <c r="C13" s="5" t="str">
        <f t="shared" ref="C13:G13" si="0">C8</f>
        <v>CH4 (g/GJ)</v>
      </c>
      <c r="D13" s="5" t="str">
        <f t="shared" si="0"/>
        <v>N2O (g/GJ)</v>
      </c>
      <c r="E13" s="5" t="str">
        <f t="shared" si="0"/>
        <v>SO2 (g/GJ)</v>
      </c>
      <c r="F13" s="5" t="str">
        <f t="shared" si="0"/>
        <v>NOX (g/GJ)</v>
      </c>
      <c r="G13" s="5" t="str">
        <f t="shared" si="0"/>
        <v>PM 2,5 (g/GJ)</v>
      </c>
    </row>
    <row r="14" spans="1:7" x14ac:dyDescent="0.25">
      <c r="A14" s="17" t="s">
        <v>26</v>
      </c>
      <c r="B14" s="10">
        <f>Samfundsøkonomi!C6/Samfundsøkonomi!C7*3.6*B11</f>
        <v>44849454.545454547</v>
      </c>
      <c r="C14" s="10">
        <f>Samfundsøkonomi!C6/Samfundsøkonomi!C7*3.6*C11</f>
        <v>785454.54545454541</v>
      </c>
      <c r="D14" s="10">
        <f>Samfundsøkonomi!C6/Samfundsøkonomi!C7*3.6*D11</f>
        <v>785454.54545454541</v>
      </c>
      <c r="E14" s="10">
        <f>Samfundsøkonomi!C6/Samfundsøkonomi!C7*3.6*E11</f>
        <v>314181.81818181818</v>
      </c>
      <c r="F14" s="10">
        <f>Samfundsøkonomi!C6/Samfundsøkonomi!C7*3.6*F11</f>
        <v>25920000</v>
      </c>
      <c r="G14" s="10">
        <f>Samfundsøkonomi!C6/Samfundsøkonomi!C7*3.6*G11</f>
        <v>78545.454545454544</v>
      </c>
    </row>
    <row r="15" spans="1:7" x14ac:dyDescent="0.25">
      <c r="A15" s="17" t="s">
        <v>3</v>
      </c>
      <c r="B15" s="10">
        <f>B9*Samfundsøkonomi!D6/Samfundsøkonomi!D7*3.6</f>
        <v>79266055.045871556</v>
      </c>
      <c r="C15" s="10">
        <f>Samfundsøkonomi!D6/Samfundsøkonomi!D7*C9*3.6</f>
        <v>8719266.0550458711</v>
      </c>
      <c r="D15" s="10">
        <f>Samfundsøkonomi!D6/Samfundsøkonomi!D7*3.6*D9</f>
        <v>3170642.2018348621</v>
      </c>
      <c r="E15" s="10">
        <f>Samfundsøkonomi!D6/Samfundsøkonomi!D7*3.6*E9</f>
        <v>8719266.0550458711</v>
      </c>
      <c r="F15" s="10">
        <f>Samfundsøkonomi!D6/Samfundsøkonomi!D7*3.6*F9</f>
        <v>71339449.541284397</v>
      </c>
      <c r="G15" s="10">
        <f>Samfundsøkonomi!D6/Samfundsøkonomi!D7*3.6*G9</f>
        <v>7926605.5045871548</v>
      </c>
    </row>
    <row r="17" spans="1:31" x14ac:dyDescent="0.25">
      <c r="A17" s="2" t="s">
        <v>39</v>
      </c>
    </row>
    <row r="18" spans="1:31" x14ac:dyDescent="0.25">
      <c r="A18" s="4" t="s">
        <v>22</v>
      </c>
      <c r="B18" s="5">
        <v>2018</v>
      </c>
      <c r="C18" s="5">
        <v>2019</v>
      </c>
      <c r="D18" s="5">
        <v>2020</v>
      </c>
      <c r="E18" s="5">
        <v>2021</v>
      </c>
      <c r="F18" s="5">
        <v>2022</v>
      </c>
      <c r="G18" s="5">
        <v>2023</v>
      </c>
      <c r="H18" s="5">
        <v>2024</v>
      </c>
      <c r="I18" s="5">
        <v>2025</v>
      </c>
      <c r="J18" s="5">
        <v>2026</v>
      </c>
      <c r="K18" s="5">
        <v>2027</v>
      </c>
      <c r="L18" s="5">
        <v>2028</v>
      </c>
      <c r="M18" s="5">
        <v>2029</v>
      </c>
      <c r="N18" s="5">
        <v>2030</v>
      </c>
      <c r="O18" s="5">
        <v>2031</v>
      </c>
      <c r="P18" s="5">
        <v>2032</v>
      </c>
      <c r="Q18" s="5">
        <v>2033</v>
      </c>
      <c r="R18" s="5">
        <v>2034</v>
      </c>
      <c r="S18" s="5">
        <v>2035</v>
      </c>
      <c r="T18" s="5">
        <v>2036</v>
      </c>
      <c r="U18" s="5">
        <v>2037</v>
      </c>
      <c r="V18" s="6"/>
      <c r="W18" s="6"/>
      <c r="X18" s="6"/>
      <c r="Y18" s="6"/>
      <c r="Z18" s="6"/>
    </row>
    <row r="19" spans="1:31" hidden="1" x14ac:dyDescent="0.25">
      <c r="A19" s="14"/>
      <c r="B19" s="5">
        <v>1</v>
      </c>
      <c r="C19" s="5">
        <v>2</v>
      </c>
      <c r="D19" s="5">
        <v>3</v>
      </c>
      <c r="E19" s="5">
        <v>4</v>
      </c>
      <c r="F19" s="5">
        <v>5</v>
      </c>
      <c r="G19" s="5">
        <v>6</v>
      </c>
      <c r="H19" s="5">
        <v>7</v>
      </c>
      <c r="I19" s="5">
        <v>8</v>
      </c>
      <c r="J19" s="5">
        <v>9</v>
      </c>
      <c r="K19" s="5">
        <v>10</v>
      </c>
      <c r="L19" s="5">
        <v>11</v>
      </c>
      <c r="M19" s="5">
        <v>12</v>
      </c>
      <c r="N19" s="5">
        <v>13</v>
      </c>
      <c r="O19" s="5">
        <v>14</v>
      </c>
      <c r="P19" s="5">
        <v>15</v>
      </c>
      <c r="Q19" s="5">
        <v>16</v>
      </c>
      <c r="R19" s="5">
        <v>17</v>
      </c>
      <c r="S19" s="5">
        <v>18</v>
      </c>
      <c r="T19" s="5">
        <v>19</v>
      </c>
      <c r="U19" s="5">
        <v>20</v>
      </c>
      <c r="V19" s="6"/>
      <c r="W19" s="6"/>
      <c r="X19" s="6"/>
      <c r="Y19" s="6"/>
      <c r="Z19" s="6"/>
    </row>
    <row r="20" spans="1:31" hidden="1" x14ac:dyDescent="0.25">
      <c r="A20" s="14"/>
      <c r="B20" s="27">
        <f t="shared" ref="B20:U20" si="1">1/(1+$B$7)^B19</f>
        <v>0.96153846153846145</v>
      </c>
      <c r="C20" s="27">
        <f t="shared" si="1"/>
        <v>0.92455621301775137</v>
      </c>
      <c r="D20" s="27">
        <f t="shared" si="1"/>
        <v>0.88899635867091487</v>
      </c>
      <c r="E20" s="27">
        <f t="shared" si="1"/>
        <v>0.85480419102972571</v>
      </c>
      <c r="F20" s="27">
        <f t="shared" si="1"/>
        <v>0.82192710675935154</v>
      </c>
      <c r="G20" s="27">
        <f t="shared" si="1"/>
        <v>0.79031452573014571</v>
      </c>
      <c r="H20" s="27">
        <f t="shared" si="1"/>
        <v>0.75991781320206331</v>
      </c>
      <c r="I20" s="27">
        <f t="shared" si="1"/>
        <v>0.73069020500198378</v>
      </c>
      <c r="J20" s="27">
        <f t="shared" si="1"/>
        <v>0.70258673557883045</v>
      </c>
      <c r="K20" s="27">
        <f t="shared" si="1"/>
        <v>0.67556416882579851</v>
      </c>
      <c r="L20" s="27">
        <f t="shared" si="1"/>
        <v>0.6495809315632679</v>
      </c>
      <c r="M20" s="27">
        <f t="shared" si="1"/>
        <v>0.62459704958006512</v>
      </c>
      <c r="N20" s="27">
        <f t="shared" si="1"/>
        <v>0.600574086134678</v>
      </c>
      <c r="O20" s="27">
        <f t="shared" si="1"/>
        <v>0.57747508282180582</v>
      </c>
      <c r="P20" s="27">
        <f t="shared" si="1"/>
        <v>0.55526450271327477</v>
      </c>
      <c r="Q20" s="27">
        <f t="shared" si="1"/>
        <v>0.53390817568584104</v>
      </c>
      <c r="R20" s="27">
        <f t="shared" si="1"/>
        <v>0.51337324585177024</v>
      </c>
      <c r="S20" s="27">
        <f t="shared" si="1"/>
        <v>0.49362812101131748</v>
      </c>
      <c r="T20" s="27">
        <f t="shared" si="1"/>
        <v>0.47464242404934376</v>
      </c>
      <c r="U20" s="27">
        <f t="shared" si="1"/>
        <v>0.45638694620129205</v>
      </c>
      <c r="V20" s="26"/>
      <c r="W20" s="26"/>
      <c r="X20" s="6"/>
      <c r="Y20" s="6"/>
      <c r="Z20" s="6"/>
    </row>
    <row r="21" spans="1:31" x14ac:dyDescent="0.25">
      <c r="A21" s="4" t="s">
        <v>40</v>
      </c>
      <c r="B21" s="24">
        <v>132.86000000000001</v>
      </c>
      <c r="C21" s="24">
        <v>147.55000000000001</v>
      </c>
      <c r="D21" s="24">
        <v>162.25</v>
      </c>
      <c r="E21" s="24">
        <v>167.66</v>
      </c>
      <c r="F21" s="24">
        <v>173.07</v>
      </c>
      <c r="G21" s="24">
        <v>178.48</v>
      </c>
      <c r="H21" s="24">
        <v>183.88</v>
      </c>
      <c r="I21" s="24">
        <v>189.29</v>
      </c>
      <c r="J21" s="24">
        <v>194.7</v>
      </c>
      <c r="K21" s="24">
        <v>200.11</v>
      </c>
      <c r="L21" s="24">
        <v>205.52</v>
      </c>
      <c r="M21" s="24">
        <v>210.93</v>
      </c>
      <c r="N21" s="24">
        <v>216.33</v>
      </c>
      <c r="O21" s="24">
        <v>221.74</v>
      </c>
      <c r="P21" s="24">
        <v>227.15</v>
      </c>
      <c r="Q21" s="24">
        <v>232.56</v>
      </c>
      <c r="R21" s="24">
        <v>237.97</v>
      </c>
      <c r="S21" s="24">
        <v>243.38</v>
      </c>
      <c r="T21" s="24">
        <v>248.61</v>
      </c>
      <c r="U21" s="24">
        <v>253.45</v>
      </c>
      <c r="V21" s="21"/>
      <c r="W21" s="21"/>
      <c r="X21" s="21"/>
      <c r="Y21" s="21"/>
      <c r="Z21" s="21"/>
      <c r="AA21" s="21"/>
      <c r="AB21" s="21"/>
      <c r="AC21" s="21"/>
      <c r="AD21" s="20"/>
      <c r="AE21" s="20"/>
    </row>
    <row r="22" spans="1:31" x14ac:dyDescent="0.25">
      <c r="A22" s="4" t="s">
        <v>18</v>
      </c>
      <c r="B22" s="24">
        <v>3.32</v>
      </c>
      <c r="C22" s="24">
        <v>3.69</v>
      </c>
      <c r="D22" s="24">
        <v>4.0599999999999996</v>
      </c>
      <c r="E22" s="24">
        <v>4.1900000000000004</v>
      </c>
      <c r="F22" s="24">
        <v>4.33</v>
      </c>
      <c r="G22" s="24">
        <v>4.46</v>
      </c>
      <c r="H22" s="24">
        <v>4.5999999999999996</v>
      </c>
      <c r="I22" s="24">
        <v>4.7300000000000004</v>
      </c>
      <c r="J22" s="24">
        <v>4.87</v>
      </c>
      <c r="K22" s="24">
        <v>5</v>
      </c>
      <c r="L22" s="24">
        <v>5.14</v>
      </c>
      <c r="M22" s="24">
        <v>5.27</v>
      </c>
      <c r="N22" s="24">
        <v>5.41</v>
      </c>
      <c r="O22" s="24">
        <v>5.54</v>
      </c>
      <c r="P22" s="24">
        <v>5.68</v>
      </c>
      <c r="Q22" s="24">
        <v>5.81</v>
      </c>
      <c r="R22" s="24">
        <v>5.95</v>
      </c>
      <c r="S22" s="24">
        <v>6.08</v>
      </c>
      <c r="T22" s="24">
        <v>6.21</v>
      </c>
      <c r="U22" s="24">
        <v>6.34</v>
      </c>
      <c r="V22" s="21"/>
      <c r="W22" s="21"/>
      <c r="X22" s="21"/>
      <c r="Y22" s="21"/>
      <c r="Z22" s="21"/>
      <c r="AA22" s="21"/>
      <c r="AB22" s="21"/>
      <c r="AC22" s="21"/>
      <c r="AD22" s="20"/>
      <c r="AE22" s="20"/>
    </row>
    <row r="23" spans="1:31" x14ac:dyDescent="0.25">
      <c r="A23" s="4" t="s">
        <v>19</v>
      </c>
      <c r="B23" s="24">
        <v>39.590000000000003</v>
      </c>
      <c r="C23" s="24">
        <v>43.97</v>
      </c>
      <c r="D23" s="24">
        <v>48.35</v>
      </c>
      <c r="E23" s="24">
        <v>49.96</v>
      </c>
      <c r="F23" s="24">
        <v>51.57</v>
      </c>
      <c r="G23" s="24">
        <v>53.19</v>
      </c>
      <c r="H23" s="24">
        <v>54.8</v>
      </c>
      <c r="I23" s="24">
        <v>56.41</v>
      </c>
      <c r="J23" s="24">
        <v>58.02</v>
      </c>
      <c r="K23" s="24">
        <v>59.63</v>
      </c>
      <c r="L23" s="24">
        <v>61.24</v>
      </c>
      <c r="M23" s="24">
        <v>62.86</v>
      </c>
      <c r="N23" s="24">
        <v>64.47</v>
      </c>
      <c r="O23" s="24">
        <v>66.08</v>
      </c>
      <c r="P23" s="24">
        <v>67.69</v>
      </c>
      <c r="Q23" s="24">
        <v>69.3</v>
      </c>
      <c r="R23" s="24">
        <v>70.91</v>
      </c>
      <c r="S23" s="24">
        <v>72.53</v>
      </c>
      <c r="T23" s="24">
        <v>74.13</v>
      </c>
      <c r="U23" s="24">
        <v>75.73</v>
      </c>
      <c r="V23" s="21"/>
      <c r="W23" s="21"/>
      <c r="X23" s="21"/>
      <c r="Y23" s="21"/>
      <c r="Z23" s="21"/>
      <c r="AA23" s="21"/>
      <c r="AB23" s="21"/>
      <c r="AC23" s="21"/>
      <c r="AD23" s="20"/>
      <c r="AE23" s="20"/>
    </row>
    <row r="24" spans="1:31" x14ac:dyDescent="0.25">
      <c r="A24" s="4" t="s">
        <v>41</v>
      </c>
      <c r="B24" s="24">
        <v>94.6</v>
      </c>
      <c r="C24" s="24">
        <v>94.6</v>
      </c>
      <c r="D24" s="24">
        <v>94.6</v>
      </c>
      <c r="E24" s="24">
        <v>94.6</v>
      </c>
      <c r="F24" s="24">
        <v>94.6</v>
      </c>
      <c r="G24" s="24">
        <v>94.6</v>
      </c>
      <c r="H24" s="24">
        <v>94.6</v>
      </c>
      <c r="I24" s="24">
        <v>94.6</v>
      </c>
      <c r="J24" s="24">
        <v>94.6</v>
      </c>
      <c r="K24" s="24">
        <v>94.6</v>
      </c>
      <c r="L24" s="24">
        <v>94.6</v>
      </c>
      <c r="M24" s="24">
        <v>94.6</v>
      </c>
      <c r="N24" s="24">
        <v>94.6</v>
      </c>
      <c r="O24" s="24">
        <v>94.6</v>
      </c>
      <c r="P24" s="24">
        <v>94.6</v>
      </c>
      <c r="Q24" s="24">
        <v>94.6</v>
      </c>
      <c r="R24" s="24">
        <v>94.6</v>
      </c>
      <c r="S24" s="24">
        <v>94.6</v>
      </c>
      <c r="T24" s="24">
        <v>94.6</v>
      </c>
      <c r="U24" s="24">
        <v>94.6</v>
      </c>
      <c r="V24" s="21"/>
      <c r="W24" s="21"/>
      <c r="X24" s="21"/>
      <c r="Y24" s="21"/>
      <c r="Z24" s="21"/>
      <c r="AA24" s="21"/>
      <c r="AB24" s="21"/>
      <c r="AC24" s="21"/>
      <c r="AD24" s="20"/>
      <c r="AE24" s="20"/>
    </row>
    <row r="25" spans="1:31" x14ac:dyDescent="0.25">
      <c r="A25" s="4" t="s">
        <v>42</v>
      </c>
      <c r="B25" s="24">
        <v>49</v>
      </c>
      <c r="C25" s="24">
        <v>49</v>
      </c>
      <c r="D25" s="24">
        <v>49</v>
      </c>
      <c r="E25" s="24">
        <v>49</v>
      </c>
      <c r="F25" s="24">
        <v>49</v>
      </c>
      <c r="G25" s="24">
        <v>49</v>
      </c>
      <c r="H25" s="24">
        <v>49</v>
      </c>
      <c r="I25" s="24">
        <v>49</v>
      </c>
      <c r="J25" s="24">
        <v>49</v>
      </c>
      <c r="K25" s="24">
        <v>49</v>
      </c>
      <c r="L25" s="24">
        <v>49</v>
      </c>
      <c r="M25" s="24">
        <v>49</v>
      </c>
      <c r="N25" s="24">
        <v>49</v>
      </c>
      <c r="O25" s="24">
        <v>49</v>
      </c>
      <c r="P25" s="24">
        <v>49</v>
      </c>
      <c r="Q25" s="24">
        <v>49</v>
      </c>
      <c r="R25" s="24">
        <v>49</v>
      </c>
      <c r="S25" s="24">
        <v>49</v>
      </c>
      <c r="T25" s="24">
        <v>49</v>
      </c>
      <c r="U25" s="24">
        <v>49</v>
      </c>
      <c r="V25" s="21"/>
      <c r="W25" s="21"/>
      <c r="X25" s="21"/>
      <c r="Y25" s="21"/>
      <c r="Z25" s="21"/>
      <c r="AA25" s="21"/>
      <c r="AB25" s="21"/>
      <c r="AC25" s="21"/>
      <c r="AD25" s="20"/>
      <c r="AE25" s="20"/>
    </row>
    <row r="26" spans="1:31" x14ac:dyDescent="0.25">
      <c r="A26" s="4" t="s">
        <v>43</v>
      </c>
      <c r="B26" s="24">
        <v>111.7</v>
      </c>
      <c r="C26" s="24">
        <v>111.7</v>
      </c>
      <c r="D26" s="24">
        <v>111.7</v>
      </c>
      <c r="E26" s="24">
        <v>111.7</v>
      </c>
      <c r="F26" s="24">
        <v>111.7</v>
      </c>
      <c r="G26" s="24">
        <v>111.7</v>
      </c>
      <c r="H26" s="24">
        <v>111.7</v>
      </c>
      <c r="I26" s="24">
        <v>111.7</v>
      </c>
      <c r="J26" s="24">
        <v>111.7</v>
      </c>
      <c r="K26" s="24">
        <v>111.7</v>
      </c>
      <c r="L26" s="24">
        <v>111.7</v>
      </c>
      <c r="M26" s="24">
        <v>111.7</v>
      </c>
      <c r="N26" s="24">
        <v>111.7</v>
      </c>
      <c r="O26" s="24">
        <v>111.7</v>
      </c>
      <c r="P26" s="24">
        <v>111.7</v>
      </c>
      <c r="Q26" s="24">
        <v>111.7</v>
      </c>
      <c r="R26" s="24">
        <v>111.7</v>
      </c>
      <c r="S26" s="24">
        <v>111.7</v>
      </c>
      <c r="T26" s="24">
        <v>111.7</v>
      </c>
      <c r="U26" s="24">
        <v>111.7</v>
      </c>
      <c r="V26" s="21"/>
      <c r="W26" s="21"/>
      <c r="X26" s="21"/>
      <c r="Y26" s="21"/>
      <c r="Z26" s="21"/>
      <c r="AA26" s="21"/>
      <c r="AB26" s="21"/>
      <c r="AC26" s="21"/>
      <c r="AD26" s="20"/>
      <c r="AE26" s="20"/>
    </row>
    <row r="27" spans="1:3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x14ac:dyDescent="0.25">
      <c r="A28" s="2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x14ac:dyDescent="0.25">
      <c r="A29" s="18" t="s">
        <v>26</v>
      </c>
      <c r="B29" s="34">
        <f>($C$14*B22+$D$14*B23+$E$14*B24+$F$14*B25+$G$14*B26+$B$14*B21)/1000</f>
        <v>7300977.5127272736</v>
      </c>
      <c r="C29" s="34">
        <f t="shared" ref="C29:U29" si="2">($C$14*C22+$D$14*C23+$E$14*C24+$F$14*C25+$G$14*C26+$B$14*C21)/1000</f>
        <v>7963546.9090909101</v>
      </c>
      <c r="D29" s="34">
        <f t="shared" si="2"/>
        <v>8626564.8000000007</v>
      </c>
      <c r="E29" s="34">
        <f t="shared" si="2"/>
        <v>8870567.0399999991</v>
      </c>
      <c r="F29" s="34">
        <f t="shared" si="2"/>
        <v>9114577.1345454548</v>
      </c>
      <c r="G29" s="34">
        <f t="shared" si="2"/>
        <v>9358587.2290909085</v>
      </c>
      <c r="H29" s="34">
        <f t="shared" si="2"/>
        <v>9602148.82909091</v>
      </c>
      <c r="I29" s="34">
        <f t="shared" si="2"/>
        <v>9846151.0690909103</v>
      </c>
      <c r="J29" s="34">
        <f t="shared" si="2"/>
        <v>10090161.163636364</v>
      </c>
      <c r="K29" s="34">
        <f t="shared" si="2"/>
        <v>10334163.403636364</v>
      </c>
      <c r="L29" s="34">
        <f t="shared" si="2"/>
        <v>10578173.498181818</v>
      </c>
      <c r="M29" s="34">
        <f t="shared" si="2"/>
        <v>10822183.592727274</v>
      </c>
      <c r="N29" s="34">
        <f t="shared" si="2"/>
        <v>11065745.192727271</v>
      </c>
      <c r="O29" s="34">
        <f t="shared" si="2"/>
        <v>11309747.432727274</v>
      </c>
      <c r="P29" s="34">
        <f t="shared" si="2"/>
        <v>11553757.527272727</v>
      </c>
      <c r="Q29" s="34">
        <f t="shared" si="2"/>
        <v>11797759.767272728</v>
      </c>
      <c r="R29" s="34">
        <f t="shared" si="2"/>
        <v>12041769.861818181</v>
      </c>
      <c r="S29" s="34">
        <f t="shared" si="2"/>
        <v>12285779.956363635</v>
      </c>
      <c r="T29" s="34">
        <f t="shared" si="2"/>
        <v>12521701.440000001</v>
      </c>
      <c r="U29" s="34">
        <f t="shared" si="2"/>
        <v>12740131.636363637</v>
      </c>
      <c r="V29" s="55"/>
      <c r="W29" s="55"/>
      <c r="X29" s="55"/>
      <c r="Y29" s="55"/>
      <c r="Z29" s="55"/>
      <c r="AA29" s="55"/>
      <c r="AB29" s="55"/>
      <c r="AC29" s="55"/>
      <c r="AD29" s="55"/>
      <c r="AE29" s="20"/>
    </row>
    <row r="30" spans="1:31" x14ac:dyDescent="0.25">
      <c r="A30" s="18" t="s">
        <v>0</v>
      </c>
      <c r="B30" s="34">
        <f>($B$15*B21+$C$15*B22+$D$15*B23+$E$15*B24+$F$15*B25+$G$15*B26)/1000</f>
        <v>15891639.19266055</v>
      </c>
      <c r="C30" s="34">
        <f t="shared" ref="C30:U30" si="3">($B$15*C21+$C$15*C22+$D$15*C23+$E$15*C24+$F$15*C25+$G$15*C26)/1000</f>
        <v>17073171.082568809</v>
      </c>
      <c r="D30" s="34">
        <f t="shared" si="3"/>
        <v>18255495.63302752</v>
      </c>
      <c r="E30" s="34">
        <f t="shared" si="3"/>
        <v>18690563.229357794</v>
      </c>
      <c r="F30" s="34">
        <f t="shared" si="3"/>
        <v>19125718.018348623</v>
      </c>
      <c r="G30" s="34">
        <f t="shared" si="3"/>
        <v>19560817.321100913</v>
      </c>
      <c r="H30" s="34">
        <f t="shared" si="3"/>
        <v>19995179.449541282</v>
      </c>
      <c r="I30" s="34">
        <f t="shared" si="3"/>
        <v>20430247.045871556</v>
      </c>
      <c r="J30" s="34">
        <f t="shared" si="3"/>
        <v>20865401.834862381</v>
      </c>
      <c r="K30" s="34">
        <f t="shared" si="3"/>
        <v>21300469.431192659</v>
      </c>
      <c r="L30" s="34">
        <f t="shared" si="3"/>
        <v>21735624.220183484</v>
      </c>
      <c r="M30" s="34">
        <f t="shared" si="3"/>
        <v>22170723.522935774</v>
      </c>
      <c r="N30" s="34">
        <f t="shared" si="3"/>
        <v>22605085.651376143</v>
      </c>
      <c r="O30" s="34">
        <f t="shared" si="3"/>
        <v>23040153.247706417</v>
      </c>
      <c r="P30" s="34">
        <f t="shared" si="3"/>
        <v>23475308.036697242</v>
      </c>
      <c r="Q30" s="34">
        <f t="shared" si="3"/>
        <v>23910375.633027516</v>
      </c>
      <c r="R30" s="34">
        <f t="shared" si="3"/>
        <v>24345530.422018342</v>
      </c>
      <c r="S30" s="34">
        <f t="shared" si="3"/>
        <v>24780629.724770639</v>
      </c>
      <c r="T30" s="34">
        <f t="shared" si="3"/>
        <v>25201397.724770643</v>
      </c>
      <c r="U30" s="34">
        <f t="shared" si="3"/>
        <v>25591251.963302746</v>
      </c>
      <c r="V30" s="55"/>
      <c r="W30" s="55"/>
      <c r="X30" s="55"/>
      <c r="Y30" s="55"/>
      <c r="Z30" s="55"/>
      <c r="AA30" s="55"/>
      <c r="AB30" s="55"/>
      <c r="AC30" s="55"/>
      <c r="AD30" s="55"/>
      <c r="AE30" s="20"/>
    </row>
    <row r="31" spans="1:31" x14ac:dyDescent="0.25">
      <c r="A31" s="2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55"/>
      <c r="W31" s="55"/>
      <c r="X31" s="55"/>
      <c r="Y31" s="55"/>
      <c r="Z31" s="55"/>
      <c r="AA31" s="55"/>
      <c r="AB31" s="55"/>
      <c r="AC31" s="55"/>
      <c r="AD31" s="55"/>
      <c r="AE31" s="20"/>
    </row>
    <row r="32" spans="1:31" x14ac:dyDescent="0.25">
      <c r="A32" s="2" t="s">
        <v>59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55"/>
      <c r="W32" s="55"/>
      <c r="X32" s="55"/>
      <c r="Y32" s="55"/>
      <c r="Z32" s="55"/>
      <c r="AA32" s="55"/>
      <c r="AB32" s="55"/>
      <c r="AC32" s="55"/>
      <c r="AD32" s="55"/>
      <c r="AE32" s="20"/>
    </row>
    <row r="33" spans="1:31" x14ac:dyDescent="0.25">
      <c r="A33" s="18" t="s">
        <v>26</v>
      </c>
      <c r="B33" s="34">
        <f>$B$20*B29</f>
        <v>7020170.6853146851</v>
      </c>
      <c r="C33" s="34">
        <f t="shared" ref="C33:U33" si="4">$B$20*C29</f>
        <v>7657256.6433566436</v>
      </c>
      <c r="D33" s="34">
        <f t="shared" si="4"/>
        <v>8294773.846153846</v>
      </c>
      <c r="E33" s="34">
        <f t="shared" si="4"/>
        <v>8529391.3846153822</v>
      </c>
      <c r="F33" s="34">
        <f t="shared" si="4"/>
        <v>8764016.4755244758</v>
      </c>
      <c r="G33" s="34">
        <f t="shared" si="4"/>
        <v>8998641.5664335657</v>
      </c>
      <c r="H33" s="34">
        <f t="shared" si="4"/>
        <v>9232835.4125874136</v>
      </c>
      <c r="I33" s="34">
        <f t="shared" si="4"/>
        <v>9467452.9510489516</v>
      </c>
      <c r="J33" s="34">
        <f t="shared" si="4"/>
        <v>9702078.0419580415</v>
      </c>
      <c r="K33" s="34">
        <f t="shared" si="4"/>
        <v>9936695.5804195795</v>
      </c>
      <c r="L33" s="34">
        <f t="shared" si="4"/>
        <v>10171320.671328669</v>
      </c>
      <c r="M33" s="34">
        <f t="shared" si="4"/>
        <v>10405945.762237763</v>
      </c>
      <c r="N33" s="34">
        <f t="shared" si="4"/>
        <v>10640139.608391605</v>
      </c>
      <c r="O33" s="34">
        <f t="shared" si="4"/>
        <v>10874757.146853147</v>
      </c>
      <c r="P33" s="34">
        <f t="shared" si="4"/>
        <v>11109382.237762237</v>
      </c>
      <c r="Q33" s="34">
        <f t="shared" si="4"/>
        <v>11343999.776223775</v>
      </c>
      <c r="R33" s="34">
        <f t="shared" si="4"/>
        <v>11578624.867132865</v>
      </c>
      <c r="S33" s="34">
        <f t="shared" si="4"/>
        <v>11813249.958041957</v>
      </c>
      <c r="T33" s="34">
        <f t="shared" si="4"/>
        <v>12040097.538461538</v>
      </c>
      <c r="U33" s="34">
        <f t="shared" si="4"/>
        <v>12250126.573426573</v>
      </c>
      <c r="V33" s="55"/>
      <c r="W33" s="55"/>
      <c r="X33" s="55"/>
      <c r="Y33" s="55"/>
      <c r="Z33" s="55"/>
      <c r="AA33" s="55"/>
      <c r="AB33" s="55"/>
      <c r="AC33" s="55"/>
      <c r="AD33" s="55"/>
      <c r="AE33" s="20"/>
    </row>
    <row r="34" spans="1:31" x14ac:dyDescent="0.25">
      <c r="A34" s="18" t="s">
        <v>0</v>
      </c>
      <c r="B34" s="34">
        <f>$B$20*B30</f>
        <v>15280422.300635142</v>
      </c>
      <c r="C34" s="34">
        <f t="shared" ref="C34:U34" si="5">$B$20*C30</f>
        <v>16416510.656316161</v>
      </c>
      <c r="D34" s="34">
        <f t="shared" si="5"/>
        <v>17553361.185603384</v>
      </c>
      <c r="E34" s="34">
        <f t="shared" si="5"/>
        <v>17971695.412844032</v>
      </c>
      <c r="F34" s="34">
        <f t="shared" si="5"/>
        <v>18390113.479181368</v>
      </c>
      <c r="G34" s="34">
        <f t="shared" si="5"/>
        <v>18808478.193366259</v>
      </c>
      <c r="H34" s="34">
        <f t="shared" si="5"/>
        <v>19226134.086097386</v>
      </c>
      <c r="I34" s="34">
        <f t="shared" si="5"/>
        <v>19644468.313338034</v>
      </c>
      <c r="J34" s="34">
        <f t="shared" si="5"/>
        <v>20062886.379675366</v>
      </c>
      <c r="K34" s="34">
        <f t="shared" si="5"/>
        <v>20481220.606916018</v>
      </c>
      <c r="L34" s="34">
        <f t="shared" si="5"/>
        <v>20899638.67325335</v>
      </c>
      <c r="M34" s="34">
        <f t="shared" si="5"/>
        <v>21318003.387438241</v>
      </c>
      <c r="N34" s="34">
        <f t="shared" si="5"/>
        <v>21735659.280169368</v>
      </c>
      <c r="O34" s="34">
        <f t="shared" si="5"/>
        <v>22153993.507410016</v>
      </c>
      <c r="P34" s="34">
        <f t="shared" si="5"/>
        <v>22572411.573747348</v>
      </c>
      <c r="Q34" s="34">
        <f t="shared" si="5"/>
        <v>22990745.800987996</v>
      </c>
      <c r="R34" s="34">
        <f t="shared" si="5"/>
        <v>23409163.867325328</v>
      </c>
      <c r="S34" s="34">
        <f t="shared" si="5"/>
        <v>23827528.581510227</v>
      </c>
      <c r="T34" s="34">
        <f t="shared" si="5"/>
        <v>24232113.196894847</v>
      </c>
      <c r="U34" s="34">
        <f t="shared" si="5"/>
        <v>24606973.041637253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x14ac:dyDescent="0.25">
      <c r="A35" s="2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x14ac:dyDescent="0.25">
      <c r="A36" s="2" t="s">
        <v>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x14ac:dyDescent="0.25">
      <c r="A37" s="18" t="str">
        <f>A29</f>
        <v>Referencen</v>
      </c>
      <c r="B37" s="57">
        <f>SUM(B33:U33)</f>
        <v>199830956.72727272</v>
      </c>
      <c r="C37" s="22" t="s">
        <v>60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x14ac:dyDescent="0.25">
      <c r="A38" s="18" t="str">
        <f>A30</f>
        <v>Projektet</v>
      </c>
      <c r="B38" s="57">
        <f>SUM(B34:U34)</f>
        <v>411581521.52434707</v>
      </c>
      <c r="C38" s="62">
        <f>B37-B38</f>
        <v>-211750564.79707435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x14ac:dyDescent="0.25">
      <c r="A39" s="28"/>
      <c r="B39" s="63"/>
      <c r="C39" s="4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x14ac:dyDescent="0.25">
      <c r="A40" s="31"/>
      <c r="B40" s="36"/>
      <c r="C40" s="36"/>
    </row>
    <row r="43" spans="1:31" x14ac:dyDescent="0.25">
      <c r="D43" s="7" t="s">
        <v>28</v>
      </c>
    </row>
  </sheetData>
  <mergeCells count="1">
    <mergeCell ref="D3:F3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V49"/>
  <sheetViews>
    <sheetView topLeftCell="C13" workbookViewId="0">
      <selection activeCell="C28" sqref="B28:U28"/>
    </sheetView>
  </sheetViews>
  <sheetFormatPr defaultColWidth="10.81640625" defaultRowHeight="11.5" x14ac:dyDescent="0.25"/>
  <cols>
    <col min="1" max="1" width="30.6328125" style="3" bestFit="1" customWidth="1"/>
    <col min="2" max="2" width="13.6328125" style="20" bestFit="1" customWidth="1"/>
    <col min="3" max="3" width="14.1796875" style="3" customWidth="1"/>
    <col min="4" max="21" width="12.26953125" style="1" customWidth="1"/>
    <col min="22" max="22" width="4" style="1" bestFit="1" customWidth="1"/>
    <col min="23" max="16384" width="10.81640625" style="1"/>
  </cols>
  <sheetData>
    <row r="3" spans="1:13" ht="17.5" x14ac:dyDescent="0.35">
      <c r="D3" s="65" t="s">
        <v>71</v>
      </c>
      <c r="E3" s="65"/>
      <c r="F3" s="65"/>
    </row>
    <row r="6" spans="1:13" x14ac:dyDescent="0.25">
      <c r="B6" s="21"/>
    </row>
    <row r="7" spans="1:13" x14ac:dyDescent="0.25">
      <c r="A7" s="16" t="s">
        <v>6</v>
      </c>
      <c r="B7" s="47" t="s">
        <v>26</v>
      </c>
      <c r="C7" s="47" t="s">
        <v>7</v>
      </c>
      <c r="D7" s="47" t="s">
        <v>0</v>
      </c>
      <c r="E7" s="47" t="s">
        <v>8</v>
      </c>
      <c r="F7" s="67" t="s">
        <v>55</v>
      </c>
      <c r="G7" s="68"/>
      <c r="H7" s="69"/>
      <c r="I7" s="25"/>
    </row>
    <row r="8" spans="1:13" x14ac:dyDescent="0.25">
      <c r="A8" s="46" t="s">
        <v>9</v>
      </c>
      <c r="B8" s="22">
        <v>0.58699999999999997</v>
      </c>
      <c r="C8" s="10">
        <f>Samfundsøkonomi!D6</f>
        <v>240000</v>
      </c>
      <c r="D8" s="10">
        <v>0</v>
      </c>
      <c r="E8" s="10">
        <v>0</v>
      </c>
      <c r="F8" s="67" t="s">
        <v>10</v>
      </c>
      <c r="G8" s="68"/>
      <c r="H8" s="69"/>
      <c r="I8" s="15">
        <v>50</v>
      </c>
    </row>
    <row r="9" spans="1:13" x14ac:dyDescent="0.25">
      <c r="A9" s="46" t="s">
        <v>11</v>
      </c>
      <c r="B9" s="22">
        <v>0.41299999999999998</v>
      </c>
      <c r="C9" s="10">
        <f>Samfundsøkonomi!C6</f>
        <v>240000</v>
      </c>
      <c r="D9" s="10">
        <v>0</v>
      </c>
      <c r="E9" s="10">
        <v>0</v>
      </c>
      <c r="F9" s="67" t="s">
        <v>35</v>
      </c>
      <c r="G9" s="68"/>
      <c r="H9" s="69"/>
      <c r="I9" s="15">
        <v>10</v>
      </c>
    </row>
    <row r="10" spans="1:13" x14ac:dyDescent="0.25">
      <c r="A10" s="46" t="s">
        <v>12</v>
      </c>
      <c r="B10" s="22">
        <v>0</v>
      </c>
      <c r="C10" s="10">
        <v>0</v>
      </c>
      <c r="D10" s="10">
        <v>0</v>
      </c>
      <c r="E10" s="10">
        <v>0</v>
      </c>
      <c r="F10" s="67" t="s">
        <v>36</v>
      </c>
      <c r="G10" s="68"/>
      <c r="H10" s="69"/>
      <c r="I10" s="15">
        <v>5</v>
      </c>
    </row>
    <row r="11" spans="1:13" x14ac:dyDescent="0.25">
      <c r="A11" s="46" t="s">
        <v>13</v>
      </c>
      <c r="B11" s="22">
        <v>0</v>
      </c>
      <c r="C11" s="10">
        <v>0</v>
      </c>
      <c r="D11" s="10">
        <v>1</v>
      </c>
      <c r="E11" s="10">
        <f>Samfundsøkonomi!E6</f>
        <v>0</v>
      </c>
      <c r="F11" s="67" t="s">
        <v>37</v>
      </c>
      <c r="G11" s="68"/>
      <c r="H11" s="69"/>
      <c r="I11" s="15">
        <v>15</v>
      </c>
      <c r="M11" s="1" t="s">
        <v>28</v>
      </c>
    </row>
    <row r="12" spans="1:13" x14ac:dyDescent="0.25">
      <c r="A12" s="48"/>
      <c r="B12" s="42"/>
      <c r="C12" s="29"/>
      <c r="D12" s="29"/>
      <c r="E12" s="29"/>
      <c r="F12" s="48"/>
      <c r="G12" s="48"/>
      <c r="H12" s="48"/>
      <c r="I12" s="43"/>
      <c r="J12" s="41"/>
      <c r="K12" s="41"/>
    </row>
    <row r="13" spans="1:13" x14ac:dyDescent="0.25">
      <c r="A13" s="37" t="s">
        <v>67</v>
      </c>
      <c r="B13" s="21"/>
      <c r="C13" s="3" t="s">
        <v>28</v>
      </c>
      <c r="D13" s="1" t="s">
        <v>28</v>
      </c>
      <c r="E13" s="1" t="s">
        <v>28</v>
      </c>
      <c r="J13" s="41" t="s">
        <v>28</v>
      </c>
      <c r="K13" s="41" t="s">
        <v>28</v>
      </c>
    </row>
    <row r="14" spans="1:13" x14ac:dyDescent="0.25">
      <c r="A14" s="49" t="s">
        <v>52</v>
      </c>
      <c r="B14" s="21"/>
      <c r="C14" s="3" t="s">
        <v>28</v>
      </c>
      <c r="D14" s="71" t="s">
        <v>13</v>
      </c>
      <c r="E14" s="71"/>
      <c r="G14" s="41"/>
      <c r="H14" s="70"/>
      <c r="I14" s="70"/>
      <c r="J14" s="41"/>
      <c r="K14" s="41"/>
    </row>
    <row r="15" spans="1:13" x14ac:dyDescent="0.25">
      <c r="A15" s="46" t="s">
        <v>48</v>
      </c>
      <c r="B15" s="24">
        <v>46.1</v>
      </c>
      <c r="C15" s="3" t="s">
        <v>28</v>
      </c>
      <c r="D15" s="66" t="s">
        <v>48</v>
      </c>
      <c r="E15" s="66"/>
      <c r="F15" s="24">
        <v>54.5276774969916</v>
      </c>
      <c r="G15" s="66" t="s">
        <v>47</v>
      </c>
      <c r="H15" s="66"/>
      <c r="I15" s="24">
        <v>0.5</v>
      </c>
      <c r="J15" s="53" t="s">
        <v>28</v>
      </c>
      <c r="K15" s="41"/>
    </row>
    <row r="16" spans="1:13" x14ac:dyDescent="0.25">
      <c r="A16" s="46" t="s">
        <v>49</v>
      </c>
      <c r="B16" s="24">
        <v>13.6</v>
      </c>
      <c r="C16" s="3" t="s">
        <v>28</v>
      </c>
      <c r="D16" s="66" t="s">
        <v>49</v>
      </c>
      <c r="E16" s="66"/>
      <c r="F16" s="24">
        <v>9.7021660649819488</v>
      </c>
      <c r="J16" s="41"/>
      <c r="K16" s="41"/>
    </row>
    <row r="17" spans="1:22" x14ac:dyDescent="0.25">
      <c r="A17" s="46" t="s">
        <v>51</v>
      </c>
      <c r="B17" s="24">
        <v>2.2200000000000002</v>
      </c>
      <c r="C17" s="3" t="s">
        <v>28</v>
      </c>
      <c r="D17" s="66" t="s">
        <v>51</v>
      </c>
      <c r="E17" s="66"/>
      <c r="F17" s="24">
        <v>0.70196550340954667</v>
      </c>
      <c r="J17" s="41"/>
      <c r="K17" s="41"/>
    </row>
    <row r="18" spans="1:22" x14ac:dyDescent="0.25">
      <c r="A18" s="46" t="s">
        <v>50</v>
      </c>
      <c r="B18" s="24">
        <f>SUM(B15:B17)</f>
        <v>61.92</v>
      </c>
      <c r="C18" s="3" t="s">
        <v>28</v>
      </c>
      <c r="D18" s="66" t="s">
        <v>54</v>
      </c>
      <c r="E18" s="66"/>
      <c r="F18" s="24">
        <v>1.6797031688728441</v>
      </c>
    </row>
    <row r="19" spans="1:22" x14ac:dyDescent="0.25">
      <c r="B19" s="21" t="s">
        <v>28</v>
      </c>
      <c r="D19" s="66" t="s">
        <v>50</v>
      </c>
      <c r="E19" s="66"/>
      <c r="F19" s="24">
        <f>SUM(F15:F18)</f>
        <v>66.611512234255954</v>
      </c>
    </row>
    <row r="20" spans="1:22" x14ac:dyDescent="0.25">
      <c r="A20" s="37" t="s">
        <v>45</v>
      </c>
      <c r="B20" s="21"/>
    </row>
    <row r="21" spans="1:22" x14ac:dyDescent="0.25">
      <c r="A21" s="46" t="s">
        <v>21</v>
      </c>
      <c r="B21" s="9">
        <v>2018</v>
      </c>
      <c r="C21" s="9">
        <v>2019</v>
      </c>
      <c r="D21" s="9">
        <v>2020</v>
      </c>
      <c r="E21" s="9">
        <v>2021</v>
      </c>
      <c r="F21" s="9">
        <v>2022</v>
      </c>
      <c r="G21" s="9">
        <v>2023</v>
      </c>
      <c r="H21" s="9">
        <v>2024</v>
      </c>
      <c r="I21" s="9">
        <v>2025</v>
      </c>
      <c r="J21" s="9">
        <v>2026</v>
      </c>
      <c r="K21" s="9">
        <v>2027</v>
      </c>
      <c r="L21" s="9">
        <v>2028</v>
      </c>
      <c r="M21" s="9">
        <v>2029</v>
      </c>
      <c r="N21" s="9">
        <v>2030</v>
      </c>
      <c r="O21" s="9">
        <v>2031</v>
      </c>
      <c r="P21" s="9">
        <v>2032</v>
      </c>
      <c r="Q21" s="9">
        <v>2033</v>
      </c>
      <c r="R21" s="9">
        <v>2034</v>
      </c>
      <c r="S21" s="9">
        <v>2035</v>
      </c>
      <c r="T21" s="9">
        <v>2036</v>
      </c>
      <c r="U21" s="9">
        <v>2037</v>
      </c>
    </row>
    <row r="22" spans="1:22" x14ac:dyDescent="0.25">
      <c r="A22" s="46" t="s">
        <v>2</v>
      </c>
      <c r="B22" s="15">
        <v>0.5</v>
      </c>
      <c r="C22" s="15">
        <v>0.5</v>
      </c>
      <c r="D22" s="15">
        <v>0.5</v>
      </c>
      <c r="E22" s="15">
        <v>0.5</v>
      </c>
      <c r="F22" s="15">
        <v>0.5</v>
      </c>
      <c r="G22" s="15">
        <v>0.5</v>
      </c>
      <c r="H22" s="15">
        <v>0.5</v>
      </c>
      <c r="I22" s="15">
        <v>0.5</v>
      </c>
      <c r="J22" s="15">
        <v>0.5</v>
      </c>
      <c r="K22" s="15">
        <v>0.5</v>
      </c>
      <c r="L22" s="15">
        <v>0.5</v>
      </c>
      <c r="M22" s="15">
        <v>0.5</v>
      </c>
      <c r="N22" s="15">
        <v>0.5</v>
      </c>
      <c r="O22" s="15">
        <v>0.5</v>
      </c>
      <c r="P22" s="15">
        <v>0.5</v>
      </c>
      <c r="Q22" s="15">
        <v>0.5</v>
      </c>
      <c r="R22" s="15">
        <v>0.5</v>
      </c>
      <c r="S22" s="15">
        <v>0.5</v>
      </c>
      <c r="T22" s="15">
        <v>0.5</v>
      </c>
      <c r="U22" s="15">
        <v>0.5</v>
      </c>
    </row>
    <row r="23" spans="1:22" x14ac:dyDescent="0.25">
      <c r="A23" s="46" t="s">
        <v>17</v>
      </c>
      <c r="B23" s="15">
        <v>61.92</v>
      </c>
      <c r="C23" s="15">
        <v>61.92</v>
      </c>
      <c r="D23" s="15">
        <v>61.92</v>
      </c>
      <c r="E23" s="15">
        <v>61.92</v>
      </c>
      <c r="F23" s="15">
        <v>61.92</v>
      </c>
      <c r="G23" s="15">
        <v>61.92</v>
      </c>
      <c r="H23" s="15">
        <v>61.92</v>
      </c>
      <c r="I23" s="15">
        <v>61.92</v>
      </c>
      <c r="J23" s="15">
        <v>61.92</v>
      </c>
      <c r="K23" s="15">
        <v>61.92</v>
      </c>
      <c r="L23" s="15">
        <v>61.92</v>
      </c>
      <c r="M23" s="15">
        <v>61.92</v>
      </c>
      <c r="N23" s="15">
        <v>61.92</v>
      </c>
      <c r="O23" s="15">
        <v>61.92</v>
      </c>
      <c r="P23" s="15">
        <v>61.92</v>
      </c>
      <c r="Q23" s="15">
        <v>61.92</v>
      </c>
      <c r="R23" s="15">
        <v>61.92</v>
      </c>
      <c r="S23" s="15">
        <v>61.92</v>
      </c>
      <c r="T23" s="15">
        <v>61.92</v>
      </c>
      <c r="U23" s="15">
        <v>61.92</v>
      </c>
    </row>
    <row r="24" spans="1:22" x14ac:dyDescent="0.25">
      <c r="A24" s="46" t="s">
        <v>13</v>
      </c>
      <c r="B24" s="15">
        <v>66.61</v>
      </c>
      <c r="C24" s="15">
        <v>66.61</v>
      </c>
      <c r="D24" s="15">
        <v>66.61</v>
      </c>
      <c r="E24" s="15">
        <v>66.61</v>
      </c>
      <c r="F24" s="15">
        <v>66.61</v>
      </c>
      <c r="G24" s="15">
        <v>66.61</v>
      </c>
      <c r="H24" s="15">
        <v>66.61</v>
      </c>
      <c r="I24" s="15">
        <v>66.61</v>
      </c>
      <c r="J24" s="15">
        <v>66.61</v>
      </c>
      <c r="K24" s="15">
        <v>66.61</v>
      </c>
      <c r="L24" s="15">
        <v>66.61</v>
      </c>
      <c r="M24" s="15">
        <v>66.61</v>
      </c>
      <c r="N24" s="15">
        <v>66.61</v>
      </c>
      <c r="O24" s="15">
        <v>66.61</v>
      </c>
      <c r="P24" s="15">
        <v>66.61</v>
      </c>
      <c r="Q24" s="15">
        <v>66.61</v>
      </c>
      <c r="R24" s="15">
        <v>66.61</v>
      </c>
      <c r="S24" s="15">
        <v>66.61</v>
      </c>
      <c r="T24" s="15">
        <v>66.61</v>
      </c>
      <c r="U24" s="15">
        <v>66.61</v>
      </c>
    </row>
    <row r="25" spans="1:22" x14ac:dyDescent="0.25"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2" x14ac:dyDescent="0.25">
      <c r="A26" s="37" t="s">
        <v>46</v>
      </c>
      <c r="B26" s="12"/>
      <c r="C26" s="7" t="s">
        <v>28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2" x14ac:dyDescent="0.25">
      <c r="A27" s="18" t="s">
        <v>26</v>
      </c>
      <c r="B27" s="34">
        <f>$B$41/$B$42*B23*$B$43</f>
        <v>48635345.454545453</v>
      </c>
      <c r="C27" s="34">
        <f t="shared" ref="C27:V27" si="0">$B$41/$B$42*C23*$B$43</f>
        <v>48635345.454545453</v>
      </c>
      <c r="D27" s="34">
        <f t="shared" si="0"/>
        <v>48635345.454545453</v>
      </c>
      <c r="E27" s="34">
        <f t="shared" si="0"/>
        <v>48635345.454545453</v>
      </c>
      <c r="F27" s="34">
        <f t="shared" si="0"/>
        <v>48635345.454545453</v>
      </c>
      <c r="G27" s="34">
        <f t="shared" si="0"/>
        <v>48635345.454545453</v>
      </c>
      <c r="H27" s="34">
        <f t="shared" si="0"/>
        <v>48635345.454545453</v>
      </c>
      <c r="I27" s="34">
        <f t="shared" si="0"/>
        <v>48635345.454545453</v>
      </c>
      <c r="J27" s="34">
        <f t="shared" si="0"/>
        <v>48635345.454545453</v>
      </c>
      <c r="K27" s="34">
        <f t="shared" si="0"/>
        <v>48635345.454545453</v>
      </c>
      <c r="L27" s="34">
        <f t="shared" si="0"/>
        <v>48635345.454545453</v>
      </c>
      <c r="M27" s="34">
        <f t="shared" si="0"/>
        <v>48635345.454545453</v>
      </c>
      <c r="N27" s="34">
        <f t="shared" si="0"/>
        <v>48635345.454545453</v>
      </c>
      <c r="O27" s="34">
        <f t="shared" si="0"/>
        <v>48635345.454545453</v>
      </c>
      <c r="P27" s="34">
        <f t="shared" si="0"/>
        <v>48635345.454545453</v>
      </c>
      <c r="Q27" s="34">
        <f t="shared" si="0"/>
        <v>48635345.454545453</v>
      </c>
      <c r="R27" s="34">
        <f t="shared" si="0"/>
        <v>48635345.454545453</v>
      </c>
      <c r="S27" s="34">
        <f t="shared" si="0"/>
        <v>48635345.454545453</v>
      </c>
      <c r="T27" s="34">
        <f t="shared" si="0"/>
        <v>48635345.454545453</v>
      </c>
      <c r="U27" s="34">
        <f t="shared" si="0"/>
        <v>48635345.454545453</v>
      </c>
      <c r="V27" s="34">
        <f t="shared" si="0"/>
        <v>0</v>
      </c>
    </row>
    <row r="28" spans="1:22" x14ac:dyDescent="0.25">
      <c r="A28" s="18" t="s">
        <v>3</v>
      </c>
      <c r="B28" s="34">
        <f>$C$41/$C$42*B22*$C$43</f>
        <v>396330.27522935777</v>
      </c>
      <c r="C28" s="34">
        <f t="shared" ref="C28:U28" si="1">$C$41/$C$42*C22*$C$43</f>
        <v>396330.27522935777</v>
      </c>
      <c r="D28" s="34">
        <f t="shared" si="1"/>
        <v>396330.27522935777</v>
      </c>
      <c r="E28" s="34">
        <f t="shared" si="1"/>
        <v>396330.27522935777</v>
      </c>
      <c r="F28" s="34">
        <f t="shared" si="1"/>
        <v>396330.27522935777</v>
      </c>
      <c r="G28" s="34">
        <f t="shared" si="1"/>
        <v>396330.27522935777</v>
      </c>
      <c r="H28" s="34">
        <f t="shared" si="1"/>
        <v>396330.27522935777</v>
      </c>
      <c r="I28" s="34">
        <f t="shared" si="1"/>
        <v>396330.27522935777</v>
      </c>
      <c r="J28" s="34">
        <f t="shared" si="1"/>
        <v>396330.27522935777</v>
      </c>
      <c r="K28" s="34">
        <f t="shared" si="1"/>
        <v>396330.27522935777</v>
      </c>
      <c r="L28" s="34">
        <f t="shared" si="1"/>
        <v>396330.27522935777</v>
      </c>
      <c r="M28" s="34">
        <f t="shared" si="1"/>
        <v>396330.27522935777</v>
      </c>
      <c r="N28" s="34">
        <f t="shared" si="1"/>
        <v>396330.27522935777</v>
      </c>
      <c r="O28" s="34">
        <f t="shared" si="1"/>
        <v>396330.27522935777</v>
      </c>
      <c r="P28" s="34">
        <f t="shared" si="1"/>
        <v>396330.27522935777</v>
      </c>
      <c r="Q28" s="34">
        <f t="shared" si="1"/>
        <v>396330.27522935777</v>
      </c>
      <c r="R28" s="34">
        <f t="shared" si="1"/>
        <v>396330.27522935777</v>
      </c>
      <c r="S28" s="34">
        <f t="shared" si="1"/>
        <v>396330.27522935777</v>
      </c>
      <c r="T28" s="34">
        <f t="shared" si="1"/>
        <v>396330.27522935777</v>
      </c>
      <c r="U28" s="34">
        <f t="shared" si="1"/>
        <v>396330.27522935777</v>
      </c>
      <c r="V28" s="34">
        <f t="shared" ref="C28:V28" si="2">$C$41/$C$42*V24*$C$43</f>
        <v>0</v>
      </c>
    </row>
    <row r="29" spans="1:22" x14ac:dyDescent="0.25">
      <c r="A29" s="19"/>
      <c r="B29" s="34">
        <v>1</v>
      </c>
      <c r="C29" s="34">
        <v>2</v>
      </c>
      <c r="D29" s="34">
        <v>3</v>
      </c>
      <c r="E29" s="34">
        <v>4</v>
      </c>
      <c r="F29" s="34">
        <v>5</v>
      </c>
      <c r="G29" s="34">
        <v>6</v>
      </c>
      <c r="H29" s="34">
        <v>7</v>
      </c>
      <c r="I29" s="34">
        <v>8</v>
      </c>
      <c r="J29" s="34">
        <v>9</v>
      </c>
      <c r="K29" s="34">
        <v>10</v>
      </c>
      <c r="L29" s="34">
        <v>11</v>
      </c>
      <c r="M29" s="34">
        <v>12</v>
      </c>
      <c r="N29" s="34">
        <v>13</v>
      </c>
      <c r="O29" s="34">
        <v>14</v>
      </c>
      <c r="P29" s="34">
        <v>15</v>
      </c>
      <c r="Q29" s="34">
        <v>16</v>
      </c>
      <c r="R29" s="34">
        <v>17</v>
      </c>
      <c r="S29" s="34">
        <v>18</v>
      </c>
      <c r="T29" s="34">
        <v>19</v>
      </c>
      <c r="U29" s="34">
        <v>20</v>
      </c>
      <c r="V29" s="29" t="s">
        <v>28</v>
      </c>
    </row>
    <row r="30" spans="1:22" x14ac:dyDescent="0.25">
      <c r="A30" s="19"/>
      <c r="B30" s="24">
        <f>1/(1+$B$49)^B29</f>
        <v>0.96153846153846145</v>
      </c>
      <c r="C30" s="24">
        <f t="shared" ref="C30:U30" si="3">1/(1+$B$49)^C29</f>
        <v>0.92455621301775137</v>
      </c>
      <c r="D30" s="24">
        <f t="shared" si="3"/>
        <v>0.88899635867091487</v>
      </c>
      <c r="E30" s="24">
        <f t="shared" si="3"/>
        <v>0.85480419102972571</v>
      </c>
      <c r="F30" s="24">
        <f t="shared" si="3"/>
        <v>0.82192710675935154</v>
      </c>
      <c r="G30" s="24">
        <f t="shared" si="3"/>
        <v>0.79031452573014571</v>
      </c>
      <c r="H30" s="24">
        <f t="shared" si="3"/>
        <v>0.75991781320206331</v>
      </c>
      <c r="I30" s="24">
        <f t="shared" si="3"/>
        <v>0.73069020500198378</v>
      </c>
      <c r="J30" s="24">
        <f t="shared" si="3"/>
        <v>0.70258673557883045</v>
      </c>
      <c r="K30" s="24">
        <f t="shared" si="3"/>
        <v>0.67556416882579851</v>
      </c>
      <c r="L30" s="24">
        <f t="shared" si="3"/>
        <v>0.6495809315632679</v>
      </c>
      <c r="M30" s="24">
        <f t="shared" si="3"/>
        <v>0.62459704958006512</v>
      </c>
      <c r="N30" s="24">
        <f t="shared" si="3"/>
        <v>0.600574086134678</v>
      </c>
      <c r="O30" s="24">
        <f t="shared" si="3"/>
        <v>0.57747508282180582</v>
      </c>
      <c r="P30" s="24">
        <f t="shared" si="3"/>
        <v>0.55526450271327477</v>
      </c>
      <c r="Q30" s="24">
        <f t="shared" si="3"/>
        <v>0.53390817568584104</v>
      </c>
      <c r="R30" s="24">
        <f t="shared" si="3"/>
        <v>0.51337324585177024</v>
      </c>
      <c r="S30" s="24">
        <f t="shared" si="3"/>
        <v>0.49362812101131748</v>
      </c>
      <c r="T30" s="24">
        <f t="shared" si="3"/>
        <v>0.47464242404934376</v>
      </c>
      <c r="U30" s="24">
        <f t="shared" si="3"/>
        <v>0.45638694620129205</v>
      </c>
    </row>
    <row r="31" spans="1:22" x14ac:dyDescent="0.25">
      <c r="A31" s="2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2" x14ac:dyDescent="0.25">
      <c r="A32" s="37" t="s">
        <v>63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25">
      <c r="A33" s="18" t="s">
        <v>26</v>
      </c>
      <c r="B33" s="34">
        <f>B27*B30</f>
        <v>46764755.244755238</v>
      </c>
      <c r="C33" s="34">
        <f t="shared" ref="C33:U33" si="4">C27*C30</f>
        <v>44966110.812264651</v>
      </c>
      <c r="D33" s="34">
        <f t="shared" si="4"/>
        <v>43236645.011792935</v>
      </c>
      <c r="E33" s="34">
        <f t="shared" si="4"/>
        <v>41573697.126723975</v>
      </c>
      <c r="F33" s="34">
        <f t="shared" si="4"/>
        <v>39974708.775696121</v>
      </c>
      <c r="G33" s="34">
        <f t="shared" si="4"/>
        <v>38437219.976630889</v>
      </c>
      <c r="H33" s="34">
        <f t="shared" si="4"/>
        <v>36958865.362145089</v>
      </c>
      <c r="I33" s="34">
        <f t="shared" si="4"/>
        <v>35537370.540524118</v>
      </c>
      <c r="J33" s="34">
        <f t="shared" si="4"/>
        <v>34170548.596657798</v>
      </c>
      <c r="K33" s="34">
        <f t="shared" si="4"/>
        <v>32856296.727555577</v>
      </c>
      <c r="L33" s="34">
        <f t="shared" si="4"/>
        <v>31592593.007264983</v>
      </c>
      <c r="M33" s="34">
        <f t="shared" si="4"/>
        <v>30377493.276216321</v>
      </c>
      <c r="N33" s="34">
        <f t="shared" si="4"/>
        <v>29209128.150208</v>
      </c>
      <c r="O33" s="34">
        <f t="shared" si="4"/>
        <v>28085700.144430771</v>
      </c>
      <c r="P33" s="34">
        <f t="shared" si="4"/>
        <v>27005480.90810651</v>
      </c>
      <c r="Q33" s="34">
        <f t="shared" si="4"/>
        <v>25966808.565487023</v>
      </c>
      <c r="R33" s="34">
        <f t="shared" si="4"/>
        <v>24968085.159122139</v>
      </c>
      <c r="S33" s="34">
        <f t="shared" si="4"/>
        <v>24007774.191463593</v>
      </c>
      <c r="T33" s="34">
        <f t="shared" si="4"/>
        <v>23084398.261022687</v>
      </c>
      <c r="U33" s="34">
        <f t="shared" si="4"/>
        <v>22196536.78944489</v>
      </c>
    </row>
    <row r="34" spans="1:21" x14ac:dyDescent="0.25">
      <c r="A34" s="18" t="s">
        <v>3</v>
      </c>
      <c r="B34" s="34">
        <f>B28*B30</f>
        <v>381086.80310515169</v>
      </c>
      <c r="C34" s="34">
        <f t="shared" ref="C34:U34" si="5">C28*C30</f>
        <v>366429.61837033811</v>
      </c>
      <c r="D34" s="34">
        <f t="shared" si="5"/>
        <v>352336.17150994053</v>
      </c>
      <c r="E34" s="34">
        <f t="shared" si="5"/>
        <v>338784.7802980197</v>
      </c>
      <c r="F34" s="34">
        <f t="shared" si="5"/>
        <v>325754.59644040355</v>
      </c>
      <c r="G34" s="34">
        <f t="shared" si="5"/>
        <v>313225.57350038801</v>
      </c>
      <c r="H34" s="34">
        <f t="shared" si="5"/>
        <v>301178.43605806545</v>
      </c>
      <c r="I34" s="34">
        <f t="shared" si="5"/>
        <v>289594.65005583205</v>
      </c>
      <c r="J34" s="34">
        <f t="shared" si="5"/>
        <v>278456.39428445388</v>
      </c>
      <c r="K34" s="34">
        <f t="shared" si="5"/>
        <v>267746.53296582104</v>
      </c>
      <c r="L34" s="34">
        <f t="shared" si="5"/>
        <v>257448.58939021258</v>
      </c>
      <c r="M34" s="34">
        <f t="shared" si="5"/>
        <v>247546.72056751203</v>
      </c>
      <c r="N34" s="34">
        <f t="shared" si="5"/>
        <v>238025.69285337694</v>
      </c>
      <c r="O34" s="34">
        <f t="shared" si="5"/>
        <v>228870.85851286247</v>
      </c>
      <c r="P34" s="34">
        <f t="shared" si="5"/>
        <v>220068.13318544466</v>
      </c>
      <c r="Q34" s="34">
        <f t="shared" si="5"/>
        <v>211603.97421677367</v>
      </c>
      <c r="R34" s="34">
        <f t="shared" si="5"/>
        <v>203465.35982382085</v>
      </c>
      <c r="S34" s="34">
        <f t="shared" si="5"/>
        <v>195639.76906136618</v>
      </c>
      <c r="T34" s="34">
        <f t="shared" si="5"/>
        <v>188115.16255900596</v>
      </c>
      <c r="U34" s="34">
        <f t="shared" si="5"/>
        <v>180879.96399904418</v>
      </c>
    </row>
    <row r="35" spans="1:2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5">
      <c r="A36" s="37" t="s">
        <v>68</v>
      </c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46" t="s">
        <v>53</v>
      </c>
      <c r="B37" s="24">
        <f>SUM(B33:U33)</f>
        <v>660970216.62751329</v>
      </c>
      <c r="C37" s="22" t="s">
        <v>64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46" t="s">
        <v>3</v>
      </c>
      <c r="B38" s="24">
        <f>SUM(B34:U34)</f>
        <v>5386257.7807578342</v>
      </c>
      <c r="C38" s="64">
        <f>B37-B38</f>
        <v>655583958.8467555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40" spans="1:21" x14ac:dyDescent="0.25">
      <c r="A40" s="20"/>
      <c r="B40" s="22" t="s">
        <v>75</v>
      </c>
      <c r="C40" s="22" t="s">
        <v>76</v>
      </c>
      <c r="D40" s="47"/>
      <c r="E40" s="22"/>
    </row>
    <row r="41" spans="1:21" x14ac:dyDescent="0.25">
      <c r="A41" s="50" t="s">
        <v>78</v>
      </c>
      <c r="B41" s="24">
        <f>Samfundsøkonomi!C6</f>
        <v>240000</v>
      </c>
      <c r="C41" s="24">
        <f>Samfundsøkonomi!D6</f>
        <v>240000</v>
      </c>
      <c r="D41" s="24"/>
      <c r="E41" s="17" t="str">
        <f>Samfundsøkonomi!F6</f>
        <v>MWh/år</v>
      </c>
    </row>
    <row r="42" spans="1:21" x14ac:dyDescent="0.25">
      <c r="A42" s="50" t="s">
        <v>81</v>
      </c>
      <c r="B42" s="24">
        <f>Samfundsøkonomi!C7</f>
        <v>1.1000000000000001</v>
      </c>
      <c r="C42" s="24">
        <f>Samfundsøkonomi!D7</f>
        <v>1.0900000000000001</v>
      </c>
      <c r="D42" s="24"/>
      <c r="E42" s="17">
        <f>Samfundsøkonomi!F7</f>
        <v>0</v>
      </c>
    </row>
    <row r="43" spans="1:21" x14ac:dyDescent="0.25">
      <c r="A43" s="50" t="s">
        <v>77</v>
      </c>
      <c r="B43" s="24">
        <f>Samfundsøkonomi!C8</f>
        <v>3.6</v>
      </c>
      <c r="C43" s="24">
        <f>Samfundsøkonomi!D8</f>
        <v>3.6</v>
      </c>
      <c r="D43" s="24"/>
      <c r="E43" s="17" t="str">
        <f>Samfundsøkonomi!F8</f>
        <v>MWh til GJ</v>
      </c>
    </row>
    <row r="44" spans="1:21" x14ac:dyDescent="0.25">
      <c r="A44" s="50" t="s">
        <v>80</v>
      </c>
      <c r="B44" s="24">
        <f>Samfundsøkonomi!C9</f>
        <v>1.35</v>
      </c>
      <c r="C44" s="24">
        <f>Samfundsøkonomi!D9</f>
        <v>1.35</v>
      </c>
      <c r="D44" s="24"/>
      <c r="E44" s="17" t="str">
        <f>Samfundsøkonomi!F9</f>
        <v>NAF</v>
      </c>
    </row>
    <row r="45" spans="1:21" x14ac:dyDescent="0.25">
      <c r="A45" s="54" t="s">
        <v>83</v>
      </c>
      <c r="B45" s="24">
        <f>Samfundsøkonomi!C11</f>
        <v>10</v>
      </c>
      <c r="C45" s="24" t="str">
        <f>Samfundsøkonomi!D11</f>
        <v xml:space="preserve"> </v>
      </c>
      <c r="D45" s="24"/>
      <c r="E45" s="17" t="str">
        <f>Samfundsøkonomi!F11</f>
        <v>Kr./MWh</v>
      </c>
    </row>
    <row r="46" spans="1:21" x14ac:dyDescent="0.25">
      <c r="A46" s="54" t="s">
        <v>9</v>
      </c>
      <c r="B46" s="24" t="str">
        <f>Samfundsøkonomi!C12</f>
        <v xml:space="preserve"> </v>
      </c>
      <c r="C46" s="24">
        <f>Samfundsøkonomi!D12</f>
        <v>50</v>
      </c>
      <c r="D46" s="24"/>
      <c r="E46" s="17" t="str">
        <f>Samfundsøkonomi!F12</f>
        <v>Kr./MWh</v>
      </c>
    </row>
    <row r="47" spans="1:21" x14ac:dyDescent="0.25">
      <c r="A47" s="54" t="s">
        <v>17</v>
      </c>
      <c r="B47" s="24" t="str">
        <f>Samfundsøkonomi!C14</f>
        <v xml:space="preserve"> </v>
      </c>
      <c r="C47" s="24" t="str">
        <f>Samfundsøkonomi!D14</f>
        <v xml:space="preserve"> </v>
      </c>
      <c r="D47" s="24"/>
      <c r="E47" s="17" t="str">
        <f>Samfundsøkonomi!F14</f>
        <v>Kr./MWh</v>
      </c>
    </row>
    <row r="48" spans="1:21" x14ac:dyDescent="0.25">
      <c r="A48" s="50" t="s">
        <v>69</v>
      </c>
      <c r="B48" s="24">
        <f>Samfundsøkonomi!D15</f>
        <v>110000000</v>
      </c>
      <c r="C48" s="24" t="s">
        <v>28</v>
      </c>
      <c r="D48" s="24"/>
      <c r="E48" s="17" t="str">
        <f>Samfundsøkonomi!F15</f>
        <v>Kr.</v>
      </c>
    </row>
    <row r="49" spans="1:5" x14ac:dyDescent="0.25">
      <c r="A49" s="50" t="s">
        <v>85</v>
      </c>
      <c r="B49" s="23">
        <f>Samfundsøkonomi!C16</f>
        <v>0.04</v>
      </c>
      <c r="C49" s="52"/>
      <c r="D49" s="52"/>
      <c r="E49" s="17" t="str">
        <f>Samfundsøkonomi!F16</f>
        <v>%</v>
      </c>
    </row>
  </sheetData>
  <mergeCells count="14">
    <mergeCell ref="D3:F3"/>
    <mergeCell ref="D17:E17"/>
    <mergeCell ref="D18:E18"/>
    <mergeCell ref="D19:E19"/>
    <mergeCell ref="F7:H7"/>
    <mergeCell ref="F8:H8"/>
    <mergeCell ref="F9:H9"/>
    <mergeCell ref="F10:H10"/>
    <mergeCell ref="F11:H11"/>
    <mergeCell ref="H14:I14"/>
    <mergeCell ref="D14:E14"/>
    <mergeCell ref="D15:E15"/>
    <mergeCell ref="D16:E16"/>
    <mergeCell ref="G15:H1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W61"/>
  <sheetViews>
    <sheetView tabSelected="1" topLeftCell="A40" zoomScale="130" zoomScaleNormal="130" workbookViewId="0">
      <selection activeCell="E61" sqref="E61"/>
    </sheetView>
  </sheetViews>
  <sheetFormatPr defaultColWidth="10.81640625" defaultRowHeight="11.5" x14ac:dyDescent="0.25"/>
  <cols>
    <col min="1" max="1" width="15" style="3" customWidth="1"/>
    <col min="2" max="2" width="25.36328125" style="1" bestFit="1" customWidth="1"/>
    <col min="3" max="3" width="13" style="1" bestFit="1" customWidth="1"/>
    <col min="4" max="4" width="14.26953125" style="1" customWidth="1"/>
    <col min="5" max="5" width="13.90625" style="1" customWidth="1"/>
    <col min="6" max="6" width="14.54296875" style="1" customWidth="1"/>
    <col min="7" max="7" width="11.90625" style="1" bestFit="1" customWidth="1"/>
    <col min="8" max="8" width="10.453125" style="1" bestFit="1" customWidth="1"/>
    <col min="9" max="21" width="10.36328125" style="1" bestFit="1" customWidth="1"/>
    <col min="22" max="16384" width="10.81640625" style="1"/>
  </cols>
  <sheetData>
    <row r="3" spans="1:11" ht="17.5" x14ac:dyDescent="0.35">
      <c r="C3" s="65" t="s">
        <v>72</v>
      </c>
      <c r="D3" s="65"/>
      <c r="E3" s="65"/>
      <c r="F3" s="65"/>
      <c r="G3" s="40"/>
    </row>
    <row r="4" spans="1:11" x14ac:dyDescent="0.25">
      <c r="G4" s="41"/>
      <c r="H4" s="41"/>
      <c r="I4" s="41"/>
      <c r="J4" s="41"/>
      <c r="K4" s="41"/>
    </row>
    <row r="5" spans="1:11" x14ac:dyDescent="0.25">
      <c r="B5" s="20"/>
      <c r="C5" s="22" t="s">
        <v>75</v>
      </c>
      <c r="D5" s="22" t="s">
        <v>76</v>
      </c>
      <c r="E5" s="44"/>
      <c r="F5" s="46" t="s">
        <v>91</v>
      </c>
      <c r="G5" s="70"/>
      <c r="H5" s="70"/>
      <c r="I5" s="70"/>
      <c r="J5" s="41"/>
      <c r="K5" s="41"/>
    </row>
    <row r="6" spans="1:11" x14ac:dyDescent="0.25">
      <c r="A6" s="3" t="s">
        <v>66</v>
      </c>
      <c r="B6" s="50" t="s">
        <v>78</v>
      </c>
      <c r="C6" s="24">
        <v>240000</v>
      </c>
      <c r="D6" s="24">
        <v>240000</v>
      </c>
      <c r="E6" s="24"/>
      <c r="F6" s="59" t="s">
        <v>89</v>
      </c>
      <c r="G6" s="70"/>
      <c r="H6" s="70"/>
      <c r="I6" s="70"/>
      <c r="J6" s="43"/>
      <c r="K6" s="41"/>
    </row>
    <row r="7" spans="1:11" x14ac:dyDescent="0.25">
      <c r="B7" s="50" t="s">
        <v>81</v>
      </c>
      <c r="C7" s="51">
        <v>1.1000000000000001</v>
      </c>
      <c r="D7" s="51">
        <v>1.0900000000000001</v>
      </c>
      <c r="E7" s="51"/>
      <c r="F7" s="59"/>
      <c r="G7" s="70"/>
      <c r="H7" s="70"/>
      <c r="I7" s="70"/>
      <c r="J7" s="43"/>
      <c r="K7" s="41"/>
    </row>
    <row r="8" spans="1:11" x14ac:dyDescent="0.25">
      <c r="B8" s="50" t="s">
        <v>77</v>
      </c>
      <c r="C8" s="51">
        <v>3.6</v>
      </c>
      <c r="D8" s="51">
        <v>3.6</v>
      </c>
      <c r="E8" s="51"/>
      <c r="F8" s="60" t="s">
        <v>86</v>
      </c>
      <c r="G8" s="70"/>
      <c r="H8" s="70"/>
      <c r="I8" s="70"/>
      <c r="J8" s="43"/>
      <c r="K8" s="41"/>
    </row>
    <row r="9" spans="1:11" x14ac:dyDescent="0.25">
      <c r="B9" s="50" t="s">
        <v>80</v>
      </c>
      <c r="C9" s="51">
        <v>1.35</v>
      </c>
      <c r="D9" s="51">
        <v>1.35</v>
      </c>
      <c r="E9" s="51"/>
      <c r="F9" s="59" t="s">
        <v>87</v>
      </c>
      <c r="G9" s="70"/>
      <c r="H9" s="70"/>
      <c r="I9" s="70"/>
      <c r="J9" s="43"/>
      <c r="K9" s="41"/>
    </row>
    <row r="10" spans="1:11" x14ac:dyDescent="0.25">
      <c r="B10" s="50" t="s">
        <v>90</v>
      </c>
      <c r="C10" s="51"/>
      <c r="D10" s="51"/>
      <c r="E10" s="51"/>
      <c r="F10" s="59"/>
      <c r="G10" s="48"/>
      <c r="H10" s="48"/>
      <c r="I10" s="48"/>
      <c r="J10" s="43"/>
      <c r="K10" s="41"/>
    </row>
    <row r="11" spans="1:11" x14ac:dyDescent="0.25">
      <c r="B11" s="54" t="s">
        <v>35</v>
      </c>
      <c r="C11" s="51">
        <v>10</v>
      </c>
      <c r="D11" s="51" t="s">
        <v>28</v>
      </c>
      <c r="E11" s="51"/>
      <c r="F11" s="59" t="s">
        <v>82</v>
      </c>
      <c r="G11" s="61"/>
      <c r="H11" s="41"/>
      <c r="I11" s="41"/>
      <c r="J11" s="41"/>
      <c r="K11" s="41"/>
    </row>
    <row r="12" spans="1:11" x14ac:dyDescent="0.25">
      <c r="B12" s="54" t="s">
        <v>10</v>
      </c>
      <c r="C12" s="51" t="s">
        <v>28</v>
      </c>
      <c r="D12" s="51">
        <v>50</v>
      </c>
      <c r="E12" s="51"/>
      <c r="F12" s="59" t="s">
        <v>82</v>
      </c>
      <c r="G12" s="38" t="s">
        <v>28</v>
      </c>
    </row>
    <row r="13" spans="1:11" x14ac:dyDescent="0.25">
      <c r="B13" s="54" t="s">
        <v>36</v>
      </c>
      <c r="C13" s="51" t="s">
        <v>28</v>
      </c>
      <c r="D13" s="51" t="s">
        <v>28</v>
      </c>
      <c r="E13" s="51"/>
      <c r="F13" s="59" t="s">
        <v>82</v>
      </c>
      <c r="G13" s="38"/>
    </row>
    <row r="14" spans="1:11" x14ac:dyDescent="0.25">
      <c r="B14" s="54" t="s">
        <v>13</v>
      </c>
      <c r="C14" s="51" t="s">
        <v>28</v>
      </c>
      <c r="D14" s="51" t="s">
        <v>28</v>
      </c>
      <c r="E14" s="51"/>
      <c r="F14" s="59" t="s">
        <v>82</v>
      </c>
      <c r="G14" s="39"/>
      <c r="I14" s="1" t="s">
        <v>28</v>
      </c>
    </row>
    <row r="15" spans="1:11" x14ac:dyDescent="0.25">
      <c r="B15" s="50" t="s">
        <v>69</v>
      </c>
      <c r="D15" s="24">
        <v>110000000</v>
      </c>
      <c r="E15" s="52"/>
      <c r="F15" s="59" t="s">
        <v>79</v>
      </c>
      <c r="G15" s="39"/>
    </row>
    <row r="16" spans="1:11" x14ac:dyDescent="0.25">
      <c r="B16" s="50" t="s">
        <v>85</v>
      </c>
      <c r="C16" s="23">
        <v>0.04</v>
      </c>
      <c r="D16" s="52"/>
      <c r="E16" s="52"/>
      <c r="F16" s="59" t="s">
        <v>88</v>
      </c>
      <c r="G16" s="39"/>
    </row>
    <row r="17" spans="1:23" x14ac:dyDescent="0.25">
      <c r="B17" s="39"/>
      <c r="C17" s="38"/>
      <c r="D17" s="39"/>
      <c r="E17" s="39"/>
      <c r="F17" s="39"/>
      <c r="G17" s="39"/>
    </row>
    <row r="18" spans="1:23" x14ac:dyDescent="0.25">
      <c r="A18" s="37" t="s">
        <v>23</v>
      </c>
    </row>
    <row r="19" spans="1:23" x14ac:dyDescent="0.25">
      <c r="A19" s="4" t="s">
        <v>22</v>
      </c>
      <c r="B19" s="56">
        <v>2018</v>
      </c>
      <c r="C19" s="56">
        <f>B19+1</f>
        <v>2019</v>
      </c>
      <c r="D19" s="56">
        <f t="shared" ref="D19:U19" si="0">C19+1</f>
        <v>2020</v>
      </c>
      <c r="E19" s="56">
        <f t="shared" si="0"/>
        <v>2021</v>
      </c>
      <c r="F19" s="56">
        <f t="shared" si="0"/>
        <v>2022</v>
      </c>
      <c r="G19" s="56">
        <f t="shared" si="0"/>
        <v>2023</v>
      </c>
      <c r="H19" s="56">
        <f t="shared" si="0"/>
        <v>2024</v>
      </c>
      <c r="I19" s="9">
        <f t="shared" si="0"/>
        <v>2025</v>
      </c>
      <c r="J19" s="9">
        <f t="shared" si="0"/>
        <v>2026</v>
      </c>
      <c r="K19" s="9">
        <f t="shared" si="0"/>
        <v>2027</v>
      </c>
      <c r="L19" s="9">
        <f t="shared" si="0"/>
        <v>2028</v>
      </c>
      <c r="M19" s="9">
        <f t="shared" si="0"/>
        <v>2029</v>
      </c>
      <c r="N19" s="9">
        <f t="shared" si="0"/>
        <v>2030</v>
      </c>
      <c r="O19" s="9">
        <f t="shared" si="0"/>
        <v>2031</v>
      </c>
      <c r="P19" s="9">
        <f t="shared" si="0"/>
        <v>2032</v>
      </c>
      <c r="Q19" s="9">
        <f t="shared" si="0"/>
        <v>2033</v>
      </c>
      <c r="R19" s="9">
        <f t="shared" si="0"/>
        <v>2034</v>
      </c>
      <c r="S19" s="9">
        <f t="shared" si="0"/>
        <v>2035</v>
      </c>
      <c r="T19" s="9">
        <f t="shared" si="0"/>
        <v>2036</v>
      </c>
      <c r="U19" s="9">
        <f t="shared" si="0"/>
        <v>2037</v>
      </c>
    </row>
    <row r="20" spans="1:23" hidden="1" x14ac:dyDescent="0.25">
      <c r="A20" s="32" t="s">
        <v>28</v>
      </c>
      <c r="B20" s="56">
        <v>1</v>
      </c>
      <c r="C20" s="56">
        <v>2</v>
      </c>
      <c r="D20" s="56">
        <v>3</v>
      </c>
      <c r="E20" s="56">
        <v>4</v>
      </c>
      <c r="F20" s="56">
        <v>5</v>
      </c>
      <c r="G20" s="56">
        <v>6</v>
      </c>
      <c r="H20" s="56">
        <v>7</v>
      </c>
      <c r="I20" s="9">
        <v>8</v>
      </c>
      <c r="J20" s="9">
        <v>9</v>
      </c>
      <c r="K20" s="9">
        <v>10</v>
      </c>
      <c r="L20" s="9">
        <v>11</v>
      </c>
      <c r="M20" s="9">
        <v>12</v>
      </c>
      <c r="N20" s="9">
        <v>13</v>
      </c>
      <c r="O20" s="9">
        <v>14</v>
      </c>
      <c r="P20" s="9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</row>
    <row r="21" spans="1:23" hidden="1" x14ac:dyDescent="0.25">
      <c r="A21" s="14"/>
      <c r="B21" s="51">
        <f>1/(1+$C$16)^B20</f>
        <v>0.96153846153846145</v>
      </c>
      <c r="C21" s="51">
        <f t="shared" ref="C21:U21" si="1">1/(1+$C$16)^C20</f>
        <v>0.92455621301775137</v>
      </c>
      <c r="D21" s="51">
        <f t="shared" si="1"/>
        <v>0.88899635867091487</v>
      </c>
      <c r="E21" s="51">
        <f t="shared" si="1"/>
        <v>0.85480419102972571</v>
      </c>
      <c r="F21" s="51">
        <f t="shared" si="1"/>
        <v>0.82192710675935154</v>
      </c>
      <c r="G21" s="51">
        <f t="shared" si="1"/>
        <v>0.79031452573014571</v>
      </c>
      <c r="H21" s="51">
        <f t="shared" si="1"/>
        <v>0.75991781320206331</v>
      </c>
      <c r="I21" s="33">
        <f t="shared" si="1"/>
        <v>0.73069020500198378</v>
      </c>
      <c r="J21" s="33">
        <f t="shared" si="1"/>
        <v>0.70258673557883045</v>
      </c>
      <c r="K21" s="33">
        <f t="shared" si="1"/>
        <v>0.67556416882579851</v>
      </c>
      <c r="L21" s="33">
        <f t="shared" si="1"/>
        <v>0.6495809315632679</v>
      </c>
      <c r="M21" s="33">
        <f t="shared" si="1"/>
        <v>0.62459704958006512</v>
      </c>
      <c r="N21" s="33">
        <f t="shared" si="1"/>
        <v>0.600574086134678</v>
      </c>
      <c r="O21" s="33">
        <f t="shared" si="1"/>
        <v>0.57747508282180582</v>
      </c>
      <c r="P21" s="33">
        <f t="shared" si="1"/>
        <v>0.55526450271327477</v>
      </c>
      <c r="Q21" s="33">
        <f t="shared" si="1"/>
        <v>0.53390817568584104</v>
      </c>
      <c r="R21" s="33">
        <f t="shared" si="1"/>
        <v>0.51337324585177024</v>
      </c>
      <c r="S21" s="33">
        <f t="shared" si="1"/>
        <v>0.49362812101131748</v>
      </c>
      <c r="T21" s="33">
        <f t="shared" si="1"/>
        <v>0.47464242404934376</v>
      </c>
      <c r="U21" s="33">
        <f t="shared" si="1"/>
        <v>0.45638694620129205</v>
      </c>
    </row>
    <row r="22" spans="1:23" x14ac:dyDescent="0.25">
      <c r="A22" s="4" t="s">
        <v>24</v>
      </c>
      <c r="B22" s="24">
        <f t="shared" ref="B22:U22" si="2">B58*$A$57</f>
        <v>39.299999999999997</v>
      </c>
      <c r="C22" s="24">
        <f t="shared" si="2"/>
        <v>39.200000000000003</v>
      </c>
      <c r="D22" s="24">
        <f t="shared" si="2"/>
        <v>39.1</v>
      </c>
      <c r="E22" s="24">
        <f t="shared" si="2"/>
        <v>42.4</v>
      </c>
      <c r="F22" s="24">
        <f t="shared" si="2"/>
        <v>45.7</v>
      </c>
      <c r="G22" s="24">
        <f t="shared" si="2"/>
        <v>48.8</v>
      </c>
      <c r="H22" s="24">
        <f t="shared" si="2"/>
        <v>51.7</v>
      </c>
      <c r="I22" s="24">
        <f t="shared" si="2"/>
        <v>54.5</v>
      </c>
      <c r="J22" s="24">
        <f t="shared" si="2"/>
        <v>57.2</v>
      </c>
      <c r="K22" s="24">
        <f t="shared" si="2"/>
        <v>59.9</v>
      </c>
      <c r="L22" s="24">
        <f t="shared" si="2"/>
        <v>62.4</v>
      </c>
      <c r="M22" s="24">
        <f t="shared" si="2"/>
        <v>64.900000000000006</v>
      </c>
      <c r="N22" s="24">
        <f t="shared" si="2"/>
        <v>67.3</v>
      </c>
      <c r="O22" s="24">
        <f t="shared" si="2"/>
        <v>69.099999999999994</v>
      </c>
      <c r="P22" s="24">
        <f t="shared" si="2"/>
        <v>70.8</v>
      </c>
      <c r="Q22" s="24">
        <f t="shared" si="2"/>
        <v>72.400000000000006</v>
      </c>
      <c r="R22" s="24">
        <f t="shared" si="2"/>
        <v>74</v>
      </c>
      <c r="S22" s="24">
        <f t="shared" si="2"/>
        <v>75.5</v>
      </c>
      <c r="T22" s="24">
        <f t="shared" si="2"/>
        <v>76.3</v>
      </c>
      <c r="U22" s="24">
        <f t="shared" si="2"/>
        <v>77.099999999999994</v>
      </c>
      <c r="V22" s="20"/>
      <c r="W22" s="20"/>
    </row>
    <row r="23" spans="1:23" x14ac:dyDescent="0.25">
      <c r="A23" s="4" t="s">
        <v>25</v>
      </c>
      <c r="B23" s="24">
        <v>50.4</v>
      </c>
      <c r="C23" s="24">
        <v>50.8</v>
      </c>
      <c r="D23" s="24">
        <v>51.2</v>
      </c>
      <c r="E23" s="24">
        <v>51.6</v>
      </c>
      <c r="F23" s="24">
        <v>52.1</v>
      </c>
      <c r="G23" s="24">
        <v>52.6</v>
      </c>
      <c r="H23" s="24">
        <v>53</v>
      </c>
      <c r="I23" s="24">
        <v>53.5</v>
      </c>
      <c r="J23" s="24">
        <v>53.9</v>
      </c>
      <c r="K23" s="24">
        <v>54.3</v>
      </c>
      <c r="L23" s="24">
        <v>54.7</v>
      </c>
      <c r="M23" s="24">
        <v>55.1</v>
      </c>
      <c r="N23" s="24">
        <v>55.5</v>
      </c>
      <c r="O23" s="24">
        <v>55.7</v>
      </c>
      <c r="P23" s="24">
        <v>56</v>
      </c>
      <c r="Q23" s="24">
        <v>56.2</v>
      </c>
      <c r="R23" s="24">
        <v>56.4</v>
      </c>
      <c r="S23" s="24">
        <v>56.7</v>
      </c>
      <c r="T23" s="24">
        <v>56.9</v>
      </c>
      <c r="U23" s="24">
        <v>57.2</v>
      </c>
      <c r="V23" s="20"/>
      <c r="W23" s="20"/>
    </row>
    <row r="24" spans="1:23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20"/>
      <c r="W24" s="20"/>
    </row>
    <row r="25" spans="1:23" x14ac:dyDescent="0.25">
      <c r="A25" s="45" t="s">
        <v>73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0"/>
      <c r="W25" s="20"/>
    </row>
    <row r="26" spans="1:23" x14ac:dyDescent="0.25">
      <c r="A26" s="4" t="s">
        <v>26</v>
      </c>
      <c r="B26" s="34">
        <f>B22*$C$6/$C$7*$C$8</f>
        <v>30868363.636363633</v>
      </c>
      <c r="C26" s="34">
        <f t="shared" ref="C26:U26" si="3">C22*$C$6/$C$7*$C$8</f>
        <v>30789818.18181818</v>
      </c>
      <c r="D26" s="34">
        <f t="shared" si="3"/>
        <v>30711272.727272723</v>
      </c>
      <c r="E26" s="34">
        <f t="shared" si="3"/>
        <v>33303272.727272723</v>
      </c>
      <c r="F26" s="34">
        <f t="shared" si="3"/>
        <v>35895272.727272727</v>
      </c>
      <c r="G26" s="34">
        <f t="shared" si="3"/>
        <v>38330181.81818182</v>
      </c>
      <c r="H26" s="34">
        <f t="shared" si="3"/>
        <v>40608000</v>
      </c>
      <c r="I26" s="34">
        <f t="shared" si="3"/>
        <v>42807272.727272727</v>
      </c>
      <c r="J26" s="34">
        <f t="shared" si="3"/>
        <v>44927999.999999993</v>
      </c>
      <c r="K26" s="34">
        <f t="shared" si="3"/>
        <v>47048727.272727273</v>
      </c>
      <c r="L26" s="34">
        <f t="shared" si="3"/>
        <v>49012363.636363633</v>
      </c>
      <c r="M26" s="34">
        <f t="shared" si="3"/>
        <v>50976000</v>
      </c>
      <c r="N26" s="34">
        <f t="shared" si="3"/>
        <v>52861090.909090906</v>
      </c>
      <c r="O26" s="34">
        <f t="shared" si="3"/>
        <v>54274909.090909079</v>
      </c>
      <c r="P26" s="34">
        <f t="shared" si="3"/>
        <v>55610181.81818182</v>
      </c>
      <c r="Q26" s="34">
        <f t="shared" si="3"/>
        <v>56866909.090909086</v>
      </c>
      <c r="R26" s="34">
        <f t="shared" si="3"/>
        <v>58123636.36363636</v>
      </c>
      <c r="S26" s="34">
        <f t="shared" si="3"/>
        <v>59301818.18181818</v>
      </c>
      <c r="T26" s="34">
        <f t="shared" si="3"/>
        <v>59930181.81818182</v>
      </c>
      <c r="U26" s="34">
        <f t="shared" si="3"/>
        <v>60558545.454545446</v>
      </c>
      <c r="V26" s="20"/>
      <c r="W26" s="20"/>
    </row>
    <row r="27" spans="1:23" x14ac:dyDescent="0.25">
      <c r="A27" s="4" t="s">
        <v>0</v>
      </c>
      <c r="B27" s="34">
        <f>B23*$D$6/$D$7*$D$8</f>
        <v>39950091.743119262</v>
      </c>
      <c r="C27" s="34">
        <f t="shared" ref="C27:U27" si="4">C23*$D$6/$D$7*$D$8</f>
        <v>40267155.963302754</v>
      </c>
      <c r="D27" s="34">
        <f t="shared" si="4"/>
        <v>40584220.183486238</v>
      </c>
      <c r="E27" s="34">
        <f t="shared" si="4"/>
        <v>40901284.403669722</v>
      </c>
      <c r="F27" s="34">
        <f t="shared" si="4"/>
        <v>41297614.67889908</v>
      </c>
      <c r="G27" s="34">
        <f t="shared" si="4"/>
        <v>41693944.954128437</v>
      </c>
      <c r="H27" s="34">
        <f t="shared" si="4"/>
        <v>42011009.174311921</v>
      </c>
      <c r="I27" s="34">
        <f t="shared" si="4"/>
        <v>42407339.449541278</v>
      </c>
      <c r="J27" s="34">
        <f t="shared" si="4"/>
        <v>42724403.669724762</v>
      </c>
      <c r="K27" s="34">
        <f t="shared" si="4"/>
        <v>43041467.889908254</v>
      </c>
      <c r="L27" s="34">
        <f t="shared" si="4"/>
        <v>43358532.110091746</v>
      </c>
      <c r="M27" s="34">
        <f t="shared" si="4"/>
        <v>43675596.33027523</v>
      </c>
      <c r="N27" s="34">
        <f t="shared" si="4"/>
        <v>43992660.550458714</v>
      </c>
      <c r="O27" s="34">
        <f t="shared" si="4"/>
        <v>44151192.66055046</v>
      </c>
      <c r="P27" s="34">
        <f t="shared" si="4"/>
        <v>44388990.825688072</v>
      </c>
      <c r="Q27" s="34">
        <f t="shared" si="4"/>
        <v>44547522.935779817</v>
      </c>
      <c r="R27" s="34">
        <f t="shared" si="4"/>
        <v>44706055.045871556</v>
      </c>
      <c r="S27" s="34">
        <f t="shared" si="4"/>
        <v>44943853.211009175</v>
      </c>
      <c r="T27" s="34">
        <f t="shared" si="4"/>
        <v>45102385.321100913</v>
      </c>
      <c r="U27" s="34">
        <f t="shared" si="4"/>
        <v>45340183.486238532</v>
      </c>
      <c r="V27" s="20"/>
      <c r="W27" s="20"/>
    </row>
    <row r="28" spans="1:23" x14ac:dyDescent="0.25">
      <c r="A28" s="31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20"/>
      <c r="W28" s="20"/>
    </row>
    <row r="29" spans="1:23" x14ac:dyDescent="0.25">
      <c r="A29" s="45" t="s">
        <v>74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20"/>
      <c r="W29" s="20"/>
    </row>
    <row r="30" spans="1:23" x14ac:dyDescent="0.25">
      <c r="A30" s="14" t="s">
        <v>26</v>
      </c>
      <c r="B30" s="34">
        <f>B26*B21</f>
        <v>29681118.881118875</v>
      </c>
      <c r="C30" s="34">
        <f t="shared" ref="C30:U30" si="5">C26*C21</f>
        <v>28466917.697686922</v>
      </c>
      <c r="D30" s="34">
        <f t="shared" si="5"/>
        <v>27302209.624694828</v>
      </c>
      <c r="E30" s="34">
        <f t="shared" si="5"/>
        <v>28467777.102278687</v>
      </c>
      <c r="F30" s="34">
        <f t="shared" si="5"/>
        <v>29503297.659065131</v>
      </c>
      <c r="G30" s="34">
        <f t="shared" si="5"/>
        <v>30292899.464786619</v>
      </c>
      <c r="H30" s="34">
        <f t="shared" si="5"/>
        <v>30858742.558509387</v>
      </c>
      <c r="I30" s="34">
        <f t="shared" si="5"/>
        <v>31278854.884666737</v>
      </c>
      <c r="J30" s="34">
        <f t="shared" si="5"/>
        <v>31565816.856085688</v>
      </c>
      <c r="K30" s="34">
        <f t="shared" si="5"/>
        <v>31784434.334311679</v>
      </c>
      <c r="L30" s="34">
        <f t="shared" si="5"/>
        <v>31837496.829026725</v>
      </c>
      <c r="M30" s="34">
        <f t="shared" si="5"/>
        <v>31839459.199393399</v>
      </c>
      <c r="N30" s="34">
        <f t="shared" si="5"/>
        <v>31747001.364809405</v>
      </c>
      <c r="O30" s="34">
        <f t="shared" si="5"/>
        <v>31342407.622418702</v>
      </c>
      <c r="P30" s="34">
        <f t="shared" si="5"/>
        <v>30878359.953067522</v>
      </c>
      <c r="Q30" s="34">
        <f t="shared" si="5"/>
        <v>30361707.689619839</v>
      </c>
      <c r="R30" s="34">
        <f t="shared" si="5"/>
        <v>29839119.860707983</v>
      </c>
      <c r="S30" s="34">
        <f t="shared" si="5"/>
        <v>29273045.08164569</v>
      </c>
      <c r="T30" s="34">
        <f t="shared" si="5"/>
        <v>28445406.771899726</v>
      </c>
      <c r="U30" s="34">
        <f t="shared" si="5"/>
        <v>27638129.626392134</v>
      </c>
      <c r="V30" s="20"/>
      <c r="W30" s="20"/>
    </row>
    <row r="31" spans="1:23" x14ac:dyDescent="0.25">
      <c r="A31" s="14" t="s">
        <v>0</v>
      </c>
      <c r="B31" s="34">
        <f>B27*B21</f>
        <v>38413549.752999291</v>
      </c>
      <c r="C31" s="34">
        <f t="shared" ref="C31:U31" si="6">C27*C21</f>
        <v>37229249.226426356</v>
      </c>
      <c r="D31" s="34">
        <f t="shared" si="6"/>
        <v>36079223.962617911</v>
      </c>
      <c r="E31" s="34">
        <f t="shared" si="6"/>
        <v>34962589.326755635</v>
      </c>
      <c r="F31" s="34">
        <f t="shared" si="6"/>
        <v>33943628.949090049</v>
      </c>
      <c r="G31" s="34">
        <f t="shared" si="6"/>
        <v>32951330.332240816</v>
      </c>
      <c r="H31" s="34">
        <f t="shared" si="6"/>
        <v>31924914.222154934</v>
      </c>
      <c r="I31" s="34">
        <f t="shared" si="6"/>
        <v>30986627.555974029</v>
      </c>
      <c r="J31" s="34">
        <f t="shared" si="6"/>
        <v>30017599.303864125</v>
      </c>
      <c r="K31" s="34">
        <f t="shared" si="6"/>
        <v>29077273.480088167</v>
      </c>
      <c r="L31" s="34">
        <f t="shared" si="6"/>
        <v>28164875.679289259</v>
      </c>
      <c r="M31" s="34">
        <f t="shared" si="6"/>
        <v>27279648.606539827</v>
      </c>
      <c r="N31" s="34">
        <f t="shared" si="6"/>
        <v>26420851.906724844</v>
      </c>
      <c r="O31" s="34">
        <f t="shared" si="6"/>
        <v>25496213.638332881</v>
      </c>
      <c r="P31" s="34">
        <f t="shared" si="6"/>
        <v>24647630.916769803</v>
      </c>
      <c r="Q31" s="34">
        <f t="shared" si="6"/>
        <v>23784286.701965366</v>
      </c>
      <c r="R31" s="34">
        <f t="shared" si="6"/>
        <v>22950892.588126991</v>
      </c>
      <c r="S31" s="34">
        <f t="shared" si="6"/>
        <v>22185549.811558925</v>
      </c>
      <c r="T31" s="34">
        <f t="shared" si="6"/>
        <v>21407505.499214876</v>
      </c>
      <c r="U31" s="34">
        <f t="shared" si="6"/>
        <v>20692667.881490655</v>
      </c>
      <c r="V31" s="20"/>
      <c r="W31" s="20"/>
    </row>
    <row r="32" spans="1:23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20"/>
      <c r="W32" s="20"/>
    </row>
    <row r="33" spans="1:23" x14ac:dyDescent="0.25">
      <c r="A33" s="2" t="s">
        <v>57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20"/>
      <c r="W33" s="20"/>
    </row>
    <row r="34" spans="1:23" x14ac:dyDescent="0.25">
      <c r="A34" s="4" t="str">
        <f>A26</f>
        <v>Referencen</v>
      </c>
      <c r="B34" s="34">
        <f>B26*$C$9+$C$6/$C$7*$C$11*$C$9+$D$6/$D$7*$D$12*$C$9</f>
        <v>59480130.775646374</v>
      </c>
      <c r="C34" s="34">
        <f t="shared" ref="C34:U34" si="7">C26*$C$9+$C$6/$C$7*$C$11*$C$9+$D$6/$D$7*$D$12*$C$9</f>
        <v>59374094.412010014</v>
      </c>
      <c r="D34" s="34">
        <f t="shared" si="7"/>
        <v>59268058.048373647</v>
      </c>
      <c r="E34" s="34">
        <f t="shared" si="7"/>
        <v>62767258.048373647</v>
      </c>
      <c r="F34" s="34">
        <f t="shared" si="7"/>
        <v>66266458.048373654</v>
      </c>
      <c r="G34" s="34">
        <f t="shared" si="7"/>
        <v>69553585.32110092</v>
      </c>
      <c r="H34" s="34">
        <f t="shared" si="7"/>
        <v>72628639.866555467</v>
      </c>
      <c r="I34" s="34">
        <f t="shared" si="7"/>
        <v>75597658.048373654</v>
      </c>
      <c r="J34" s="34">
        <f t="shared" si="7"/>
        <v>78460639.866555452</v>
      </c>
      <c r="K34" s="34">
        <f t="shared" si="7"/>
        <v>81323621.68473728</v>
      </c>
      <c r="L34" s="34">
        <f t="shared" si="7"/>
        <v>83974530.775646374</v>
      </c>
      <c r="M34" s="34">
        <f t="shared" si="7"/>
        <v>86625439.866555467</v>
      </c>
      <c r="N34" s="34">
        <f t="shared" si="7"/>
        <v>89170312.593828201</v>
      </c>
      <c r="O34" s="34">
        <f t="shared" si="7"/>
        <v>91078967.139282733</v>
      </c>
      <c r="P34" s="34">
        <f t="shared" si="7"/>
        <v>92881585.321100935</v>
      </c>
      <c r="Q34" s="34">
        <f t="shared" si="7"/>
        <v>94578167.139282733</v>
      </c>
      <c r="R34" s="34">
        <f t="shared" si="7"/>
        <v>96274748.957464561</v>
      </c>
      <c r="S34" s="34">
        <f t="shared" si="7"/>
        <v>97865294.412010014</v>
      </c>
      <c r="T34" s="34">
        <f t="shared" si="7"/>
        <v>98713585.321100935</v>
      </c>
      <c r="U34" s="34">
        <f t="shared" si="7"/>
        <v>99561876.230191827</v>
      </c>
      <c r="V34" s="20"/>
      <c r="W34" s="20"/>
    </row>
    <row r="35" spans="1:23" x14ac:dyDescent="0.25">
      <c r="A35" s="4" t="str">
        <f>A27</f>
        <v>Projektet</v>
      </c>
      <c r="B35" s="34">
        <f>B27*$C$9+$E$6*$E$14*$C$9</f>
        <v>53932623.853211008</v>
      </c>
      <c r="C35" s="34">
        <f t="shared" ref="C35:U35" si="8">C27*$C$9+$E$6*$E$14*$C$9</f>
        <v>54360660.550458722</v>
      </c>
      <c r="D35" s="34">
        <f t="shared" si="8"/>
        <v>54788697.247706428</v>
      </c>
      <c r="E35" s="34">
        <f t="shared" si="8"/>
        <v>55216733.944954127</v>
      </c>
      <c r="F35" s="34">
        <f t="shared" si="8"/>
        <v>55751779.816513762</v>
      </c>
      <c r="G35" s="34">
        <f t="shared" si="8"/>
        <v>56286825.688073397</v>
      </c>
      <c r="H35" s="34">
        <f t="shared" si="8"/>
        <v>56714862.385321096</v>
      </c>
      <c r="I35" s="34">
        <f t="shared" si="8"/>
        <v>57249908.25688073</v>
      </c>
      <c r="J35" s="34">
        <f t="shared" si="8"/>
        <v>57677944.954128437</v>
      </c>
      <c r="K35" s="34">
        <f t="shared" si="8"/>
        <v>58105981.651376151</v>
      </c>
      <c r="L35" s="34">
        <f t="shared" si="8"/>
        <v>58534018.348623864</v>
      </c>
      <c r="M35" s="34">
        <f t="shared" si="8"/>
        <v>58962055.045871563</v>
      </c>
      <c r="N35" s="34">
        <f t="shared" si="8"/>
        <v>59390091.74311927</v>
      </c>
      <c r="O35" s="34">
        <f t="shared" si="8"/>
        <v>59604110.091743127</v>
      </c>
      <c r="P35" s="34">
        <f t="shared" si="8"/>
        <v>59925137.614678897</v>
      </c>
      <c r="Q35" s="34">
        <f t="shared" si="8"/>
        <v>60139155.963302754</v>
      </c>
      <c r="R35" s="34">
        <f t="shared" si="8"/>
        <v>60353174.311926603</v>
      </c>
      <c r="S35" s="34">
        <f t="shared" si="8"/>
        <v>60674201.834862389</v>
      </c>
      <c r="T35" s="34">
        <f t="shared" si="8"/>
        <v>60888220.183486238</v>
      </c>
      <c r="U35" s="34">
        <f t="shared" si="8"/>
        <v>61209247.706422023</v>
      </c>
      <c r="V35" s="20"/>
      <c r="W35" s="20"/>
    </row>
    <row r="36" spans="1:23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20"/>
      <c r="W36" s="20"/>
    </row>
    <row r="37" spans="1:23" x14ac:dyDescent="0.25">
      <c r="A37" s="2" t="s">
        <v>92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20"/>
      <c r="W37" s="20"/>
    </row>
    <row r="38" spans="1:23" x14ac:dyDescent="0.25">
      <c r="A38" s="4" t="str">
        <f>A27</f>
        <v>Projektet</v>
      </c>
      <c r="B38" s="34">
        <f>$D$12*$D$6</f>
        <v>12000000</v>
      </c>
      <c r="C38" s="34">
        <f>$D$12*$D$6</f>
        <v>12000000</v>
      </c>
      <c r="D38" s="34">
        <f t="shared" ref="D38:U38" si="9">$D$12*$D$6</f>
        <v>12000000</v>
      </c>
      <c r="E38" s="34">
        <f t="shared" si="9"/>
        <v>12000000</v>
      </c>
      <c r="F38" s="34">
        <f t="shared" si="9"/>
        <v>12000000</v>
      </c>
      <c r="G38" s="34">
        <f t="shared" si="9"/>
        <v>12000000</v>
      </c>
      <c r="H38" s="34">
        <f t="shared" si="9"/>
        <v>12000000</v>
      </c>
      <c r="I38" s="34">
        <f t="shared" si="9"/>
        <v>12000000</v>
      </c>
      <c r="J38" s="34">
        <f t="shared" si="9"/>
        <v>12000000</v>
      </c>
      <c r="K38" s="34">
        <f t="shared" si="9"/>
        <v>12000000</v>
      </c>
      <c r="L38" s="34">
        <f t="shared" si="9"/>
        <v>12000000</v>
      </c>
      <c r="M38" s="34">
        <f t="shared" si="9"/>
        <v>12000000</v>
      </c>
      <c r="N38" s="34">
        <f t="shared" si="9"/>
        <v>12000000</v>
      </c>
      <c r="O38" s="34">
        <f t="shared" si="9"/>
        <v>12000000</v>
      </c>
      <c r="P38" s="34">
        <f t="shared" si="9"/>
        <v>12000000</v>
      </c>
      <c r="Q38" s="34">
        <f t="shared" si="9"/>
        <v>12000000</v>
      </c>
      <c r="R38" s="34">
        <f t="shared" si="9"/>
        <v>12000000</v>
      </c>
      <c r="S38" s="34">
        <f t="shared" si="9"/>
        <v>12000000</v>
      </c>
      <c r="T38" s="34">
        <f t="shared" si="9"/>
        <v>12000000</v>
      </c>
      <c r="U38" s="34">
        <f t="shared" si="9"/>
        <v>12000000</v>
      </c>
      <c r="V38" s="20"/>
      <c r="W38" s="20"/>
    </row>
    <row r="39" spans="1:23" x14ac:dyDescent="0.25">
      <c r="A39" s="4" t="s">
        <v>4</v>
      </c>
      <c r="B39" s="34">
        <f>$D$15</f>
        <v>110000000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20"/>
      <c r="W39" s="20"/>
    </row>
    <row r="40" spans="1:23" x14ac:dyDescent="0.2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20"/>
      <c r="W40" s="20"/>
    </row>
    <row r="41" spans="1:23" x14ac:dyDescent="0.25">
      <c r="A41" s="4" t="str">
        <f>A26</f>
        <v>Referencen</v>
      </c>
      <c r="B41" s="34">
        <f>$C$6/$C$7*$C11</f>
        <v>2181818.1818181816</v>
      </c>
      <c r="C41" s="34">
        <f>$C$6/$C$7*$C11</f>
        <v>2181818.1818181816</v>
      </c>
      <c r="D41" s="34">
        <f t="shared" ref="D41:U41" si="10">$C$6/$C$7*$C11</f>
        <v>2181818.1818181816</v>
      </c>
      <c r="E41" s="34">
        <f t="shared" si="10"/>
        <v>2181818.1818181816</v>
      </c>
      <c r="F41" s="34">
        <f t="shared" si="10"/>
        <v>2181818.1818181816</v>
      </c>
      <c r="G41" s="34">
        <f t="shared" si="10"/>
        <v>2181818.1818181816</v>
      </c>
      <c r="H41" s="34">
        <f t="shared" si="10"/>
        <v>2181818.1818181816</v>
      </c>
      <c r="I41" s="34">
        <f t="shared" si="10"/>
        <v>2181818.1818181816</v>
      </c>
      <c r="J41" s="34">
        <f t="shared" si="10"/>
        <v>2181818.1818181816</v>
      </c>
      <c r="K41" s="34">
        <f t="shared" si="10"/>
        <v>2181818.1818181816</v>
      </c>
      <c r="L41" s="34">
        <f t="shared" si="10"/>
        <v>2181818.1818181816</v>
      </c>
      <c r="M41" s="34">
        <f t="shared" si="10"/>
        <v>2181818.1818181816</v>
      </c>
      <c r="N41" s="34">
        <f t="shared" si="10"/>
        <v>2181818.1818181816</v>
      </c>
      <c r="O41" s="34">
        <f t="shared" si="10"/>
        <v>2181818.1818181816</v>
      </c>
      <c r="P41" s="34">
        <f t="shared" si="10"/>
        <v>2181818.1818181816</v>
      </c>
      <c r="Q41" s="34">
        <f t="shared" si="10"/>
        <v>2181818.1818181816</v>
      </c>
      <c r="R41" s="34">
        <f t="shared" si="10"/>
        <v>2181818.1818181816</v>
      </c>
      <c r="S41" s="34">
        <f t="shared" si="10"/>
        <v>2181818.1818181816</v>
      </c>
      <c r="T41" s="34">
        <f t="shared" si="10"/>
        <v>2181818.1818181816</v>
      </c>
      <c r="U41" s="34">
        <f t="shared" si="10"/>
        <v>2181818.1818181816</v>
      </c>
      <c r="V41" s="20"/>
      <c r="W41" s="20"/>
    </row>
    <row r="42" spans="1:23" x14ac:dyDescent="0.25">
      <c r="A42" s="4" t="str">
        <f>A39</f>
        <v xml:space="preserve">Investering  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20"/>
      <c r="W42" s="20"/>
    </row>
    <row r="43" spans="1:23" x14ac:dyDescent="0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20"/>
      <c r="W43" s="20"/>
    </row>
    <row r="44" spans="1:23" x14ac:dyDescent="0.25">
      <c r="A44" s="2" t="s">
        <v>27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20"/>
      <c r="W44" s="20"/>
    </row>
    <row r="45" spans="1:23" x14ac:dyDescent="0.25">
      <c r="A45" s="4" t="str">
        <f>A26</f>
        <v>Referencen</v>
      </c>
      <c r="B45" s="34">
        <f>B41*$C$9</f>
        <v>2945454.5454545454</v>
      </c>
      <c r="C45" s="34">
        <f>C41*$C$9</f>
        <v>2945454.5454545454</v>
      </c>
      <c r="D45" s="34">
        <f t="shared" ref="C45:U45" si="11">D41*$C$9</f>
        <v>2945454.5454545454</v>
      </c>
      <c r="E45" s="34">
        <f t="shared" si="11"/>
        <v>2945454.5454545454</v>
      </c>
      <c r="F45" s="34">
        <f t="shared" si="11"/>
        <v>2945454.5454545454</v>
      </c>
      <c r="G45" s="34">
        <f t="shared" si="11"/>
        <v>2945454.5454545454</v>
      </c>
      <c r="H45" s="34">
        <f t="shared" si="11"/>
        <v>2945454.5454545454</v>
      </c>
      <c r="I45" s="34">
        <f t="shared" si="11"/>
        <v>2945454.5454545454</v>
      </c>
      <c r="J45" s="34">
        <f t="shared" si="11"/>
        <v>2945454.5454545454</v>
      </c>
      <c r="K45" s="34">
        <f t="shared" si="11"/>
        <v>2945454.5454545454</v>
      </c>
      <c r="L45" s="34">
        <f t="shared" si="11"/>
        <v>2945454.5454545454</v>
      </c>
      <c r="M45" s="34">
        <f t="shared" si="11"/>
        <v>2945454.5454545454</v>
      </c>
      <c r="N45" s="34">
        <f t="shared" si="11"/>
        <v>2945454.5454545454</v>
      </c>
      <c r="O45" s="34">
        <f t="shared" si="11"/>
        <v>2945454.5454545454</v>
      </c>
      <c r="P45" s="34">
        <f t="shared" si="11"/>
        <v>2945454.5454545454</v>
      </c>
      <c r="Q45" s="34">
        <f t="shared" si="11"/>
        <v>2945454.5454545454</v>
      </c>
      <c r="R45" s="34">
        <f t="shared" si="11"/>
        <v>2945454.5454545454</v>
      </c>
      <c r="S45" s="34">
        <f t="shared" si="11"/>
        <v>2945454.5454545454</v>
      </c>
      <c r="T45" s="34">
        <f t="shared" si="11"/>
        <v>2945454.5454545454</v>
      </c>
      <c r="U45" s="34">
        <f t="shared" si="11"/>
        <v>2945454.5454545454</v>
      </c>
      <c r="V45" s="20"/>
      <c r="W45" s="20"/>
    </row>
    <row r="46" spans="1:23" x14ac:dyDescent="0.25">
      <c r="A46" s="4" t="str">
        <f>A27</f>
        <v>Projektet</v>
      </c>
      <c r="B46" s="34">
        <f>(B38+B39)*$C$9</f>
        <v>164700000</v>
      </c>
      <c r="C46" s="34">
        <f t="shared" ref="C46:U46" si="12">(C38+C39)*$C$9</f>
        <v>16200000.000000002</v>
      </c>
      <c r="D46" s="34">
        <f t="shared" si="12"/>
        <v>16200000.000000002</v>
      </c>
      <c r="E46" s="34">
        <f t="shared" si="12"/>
        <v>16200000.000000002</v>
      </c>
      <c r="F46" s="34">
        <f t="shared" si="12"/>
        <v>16200000.000000002</v>
      </c>
      <c r="G46" s="34">
        <f t="shared" si="12"/>
        <v>16200000.000000002</v>
      </c>
      <c r="H46" s="34">
        <f t="shared" si="12"/>
        <v>16200000.000000002</v>
      </c>
      <c r="I46" s="34">
        <f t="shared" si="12"/>
        <v>16200000.000000002</v>
      </c>
      <c r="J46" s="34">
        <f t="shared" si="12"/>
        <v>16200000.000000002</v>
      </c>
      <c r="K46" s="34">
        <f t="shared" si="12"/>
        <v>16200000.000000002</v>
      </c>
      <c r="L46" s="34">
        <f t="shared" si="12"/>
        <v>16200000.000000002</v>
      </c>
      <c r="M46" s="34">
        <f t="shared" si="12"/>
        <v>16200000.000000002</v>
      </c>
      <c r="N46" s="34">
        <f t="shared" si="12"/>
        <v>16200000.000000002</v>
      </c>
      <c r="O46" s="34">
        <f t="shared" si="12"/>
        <v>16200000.000000002</v>
      </c>
      <c r="P46" s="34">
        <f t="shared" si="12"/>
        <v>16200000.000000002</v>
      </c>
      <c r="Q46" s="34">
        <f t="shared" si="12"/>
        <v>16200000.000000002</v>
      </c>
      <c r="R46" s="34">
        <f t="shared" si="12"/>
        <v>16200000.000000002</v>
      </c>
      <c r="S46" s="34">
        <f t="shared" si="12"/>
        <v>16200000.000000002</v>
      </c>
      <c r="T46" s="34">
        <f t="shared" si="12"/>
        <v>16200000.000000002</v>
      </c>
      <c r="U46" s="34">
        <f t="shared" si="12"/>
        <v>16200000.000000002</v>
      </c>
      <c r="V46" s="20"/>
      <c r="W46" s="20"/>
    </row>
    <row r="47" spans="1:23" x14ac:dyDescent="0.25">
      <c r="A47" s="3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20"/>
      <c r="W47" s="20"/>
    </row>
    <row r="48" spans="1:23" x14ac:dyDescent="0.25">
      <c r="A48" s="2" t="s">
        <v>61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20"/>
      <c r="W48" s="20"/>
    </row>
    <row r="49" spans="1:23" x14ac:dyDescent="0.25">
      <c r="A49" s="14" t="str">
        <f>A34</f>
        <v>Referencen</v>
      </c>
      <c r="B49" s="34">
        <f>B21*B45</f>
        <v>2832167.8321678317</v>
      </c>
      <c r="C49" s="34">
        <f>C21*C45</f>
        <v>2723238.3001613766</v>
      </c>
      <c r="D49" s="34">
        <f t="shared" ref="C49:U49" si="13">D21*D45</f>
        <v>2618498.3655397855</v>
      </c>
      <c r="E49" s="34">
        <f t="shared" si="13"/>
        <v>2517786.8899421012</v>
      </c>
      <c r="F49" s="34">
        <f t="shared" si="13"/>
        <v>2420948.9326366354</v>
      </c>
      <c r="G49" s="34">
        <f t="shared" si="13"/>
        <v>2327835.5121506108</v>
      </c>
      <c r="H49" s="34">
        <f t="shared" si="13"/>
        <v>2238303.3770678956</v>
      </c>
      <c r="I49" s="34">
        <f t="shared" si="13"/>
        <v>2152214.7856422067</v>
      </c>
      <c r="J49" s="34">
        <f t="shared" si="13"/>
        <v>2069437.293886737</v>
      </c>
      <c r="K49" s="34">
        <f t="shared" si="13"/>
        <v>1989843.5518141701</v>
      </c>
      <c r="L49" s="34">
        <f t="shared" si="13"/>
        <v>1913311.1075136254</v>
      </c>
      <c r="M49" s="34">
        <f t="shared" si="13"/>
        <v>1839722.2187631009</v>
      </c>
      <c r="N49" s="34">
        <f t="shared" si="13"/>
        <v>1768963.6718875971</v>
      </c>
      <c r="O49" s="34">
        <f t="shared" si="13"/>
        <v>1700926.607584228</v>
      </c>
      <c r="P49" s="34">
        <f t="shared" si="13"/>
        <v>1635506.353446373</v>
      </c>
      <c r="Q49" s="34">
        <f t="shared" si="13"/>
        <v>1572602.2629292044</v>
      </c>
      <c r="R49" s="34">
        <f t="shared" si="13"/>
        <v>1512117.5605088505</v>
      </c>
      <c r="S49" s="34">
        <f t="shared" si="13"/>
        <v>1453959.1927969714</v>
      </c>
      <c r="T49" s="34">
        <f t="shared" si="13"/>
        <v>1398037.6853817033</v>
      </c>
      <c r="U49" s="34">
        <f t="shared" si="13"/>
        <v>1344267.0051747148</v>
      </c>
      <c r="V49" s="20"/>
      <c r="W49" s="20"/>
    </row>
    <row r="50" spans="1:23" x14ac:dyDescent="0.25">
      <c r="A50" s="14" t="str">
        <f>A35</f>
        <v>Projektet</v>
      </c>
      <c r="B50" s="34">
        <f>B21*B46</f>
        <v>158365384.61538461</v>
      </c>
      <c r="C50" s="34">
        <f>C21*C46</f>
        <v>14977810.650887573</v>
      </c>
      <c r="D50" s="34">
        <f t="shared" ref="D50:U50" si="14">D21*D46</f>
        <v>14401741.010468822</v>
      </c>
      <c r="E50" s="34">
        <f t="shared" si="14"/>
        <v>13847827.894681558</v>
      </c>
      <c r="F50" s="34">
        <f t="shared" si="14"/>
        <v>13315219.129501497</v>
      </c>
      <c r="G50" s="34">
        <f t="shared" si="14"/>
        <v>12803095.316828363</v>
      </c>
      <c r="H50" s="34">
        <f t="shared" si="14"/>
        <v>12310668.573873427</v>
      </c>
      <c r="I50" s="34">
        <f t="shared" si="14"/>
        <v>11837181.321032139</v>
      </c>
      <c r="J50" s="34">
        <f t="shared" si="14"/>
        <v>11381905.116377054</v>
      </c>
      <c r="K50" s="34">
        <f t="shared" si="14"/>
        <v>10944139.534977937</v>
      </c>
      <c r="L50" s="34">
        <f t="shared" si="14"/>
        <v>10523211.091324942</v>
      </c>
      <c r="M50" s="34">
        <f t="shared" si="14"/>
        <v>10118472.203197056</v>
      </c>
      <c r="N50" s="34">
        <f t="shared" si="14"/>
        <v>9729300.1953817848</v>
      </c>
      <c r="O50" s="34">
        <f t="shared" si="14"/>
        <v>9355096.3417132553</v>
      </c>
      <c r="P50" s="34">
        <f t="shared" si="14"/>
        <v>8995284.9439550526</v>
      </c>
      <c r="Q50" s="34">
        <f t="shared" si="14"/>
        <v>8649312.4461106267</v>
      </c>
      <c r="R50" s="34">
        <f t="shared" si="14"/>
        <v>8316646.5827986794</v>
      </c>
      <c r="S50" s="34">
        <f t="shared" si="14"/>
        <v>7996775.5603833441</v>
      </c>
      <c r="T50" s="34">
        <f t="shared" si="14"/>
        <v>7689207.2695993697</v>
      </c>
      <c r="U50" s="34">
        <f t="shared" si="14"/>
        <v>7393468.528460932</v>
      </c>
      <c r="V50" s="20"/>
      <c r="W50" s="20"/>
    </row>
    <row r="51" spans="1:23" x14ac:dyDescent="0.25">
      <c r="A51" s="31"/>
      <c r="B51" s="35"/>
      <c r="C51" s="35"/>
      <c r="D51" s="35"/>
      <c r="E51" s="35"/>
      <c r="F51" s="35"/>
      <c r="G51" s="35"/>
      <c r="H51" s="35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3" x14ac:dyDescent="0.25">
      <c r="A52" s="2" t="s">
        <v>56</v>
      </c>
      <c r="B52" s="55"/>
      <c r="C52" s="55"/>
      <c r="D52" s="55"/>
      <c r="E52" s="55"/>
      <c r="F52" s="55"/>
      <c r="G52" s="55"/>
      <c r="H52" s="55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3" x14ac:dyDescent="0.25">
      <c r="A53" s="4"/>
      <c r="B53" s="34" t="s">
        <v>5</v>
      </c>
      <c r="C53" s="19" t="s">
        <v>65</v>
      </c>
      <c r="D53" s="30" t="s">
        <v>84</v>
      </c>
      <c r="E53" s="19" t="s">
        <v>67</v>
      </c>
      <c r="F53" s="19" t="s">
        <v>62</v>
      </c>
      <c r="G53" s="19" t="s">
        <v>60</v>
      </c>
      <c r="H53" s="55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3" x14ac:dyDescent="0.25">
      <c r="A54" s="4" t="str">
        <f>A26</f>
        <v>Referencen</v>
      </c>
      <c r="B54" s="57">
        <f>SUM(B30:U30)</f>
        <v>602404203.06218565</v>
      </c>
      <c r="C54" s="57">
        <f>SUM(B49:U49)</f>
        <v>40029688.506995708</v>
      </c>
      <c r="D54" s="57">
        <f>Emissioner!B37</f>
        <v>199830956.72727272</v>
      </c>
      <c r="E54" s="34">
        <f>Afgiftsprovenu!B37</f>
        <v>660970216.62751329</v>
      </c>
      <c r="F54" s="55">
        <f>SUM(B54:D54)-E54*0.1</f>
        <v>776167826.63370275</v>
      </c>
      <c r="G54" s="3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3" x14ac:dyDescent="0.25">
      <c r="A55" s="4" t="str">
        <f>A27</f>
        <v>Projektet</v>
      </c>
      <c r="B55" s="57">
        <f>SUM(B31:U31)</f>
        <v>578616109.34222496</v>
      </c>
      <c r="C55" s="57">
        <f>SUM(B50:U50)</f>
        <v>362951748.32693791</v>
      </c>
      <c r="D55" s="57">
        <f>Emissioner!B38</f>
        <v>411581521.52434707</v>
      </c>
      <c r="E55" s="34">
        <f>Afgiftsprovenu!B38</f>
        <v>5386257.7807578342</v>
      </c>
      <c r="F55" s="55">
        <f>SUM(B55:D55)-E55*0.1</f>
        <v>1352610753.4154344</v>
      </c>
      <c r="G55" s="58">
        <f>F54-F55</f>
        <v>-576442926.78173161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3" x14ac:dyDescent="0.25">
      <c r="B56" s="55"/>
      <c r="C56" s="55"/>
      <c r="D56" s="55"/>
      <c r="E56" s="55"/>
      <c r="F56" s="55"/>
      <c r="G56" s="55"/>
      <c r="H56" s="5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3" hidden="1" x14ac:dyDescent="0.25">
      <c r="A57" s="5">
        <v>1</v>
      </c>
      <c r="B57" s="56">
        <f>B19</f>
        <v>2018</v>
      </c>
      <c r="C57" s="56">
        <f t="shared" ref="C57:U57" si="15">C19</f>
        <v>2019</v>
      </c>
      <c r="D57" s="56">
        <f t="shared" si="15"/>
        <v>2020</v>
      </c>
      <c r="E57" s="56">
        <f t="shared" si="15"/>
        <v>2021</v>
      </c>
      <c r="F57" s="56">
        <f t="shared" si="15"/>
        <v>2022</v>
      </c>
      <c r="G57" s="56">
        <f t="shared" si="15"/>
        <v>2023</v>
      </c>
      <c r="H57" s="56">
        <f t="shared" si="15"/>
        <v>2024</v>
      </c>
      <c r="I57" s="9">
        <f t="shared" si="15"/>
        <v>2025</v>
      </c>
      <c r="J57" s="9">
        <f t="shared" si="15"/>
        <v>2026</v>
      </c>
      <c r="K57" s="9">
        <f t="shared" si="15"/>
        <v>2027</v>
      </c>
      <c r="L57" s="9">
        <f t="shared" si="15"/>
        <v>2028</v>
      </c>
      <c r="M57" s="9">
        <f t="shared" si="15"/>
        <v>2029</v>
      </c>
      <c r="N57" s="9">
        <f t="shared" si="15"/>
        <v>2030</v>
      </c>
      <c r="O57" s="9">
        <f t="shared" si="15"/>
        <v>2031</v>
      </c>
      <c r="P57" s="9">
        <f t="shared" si="15"/>
        <v>2032</v>
      </c>
      <c r="Q57" s="9">
        <f t="shared" si="15"/>
        <v>2033</v>
      </c>
      <c r="R57" s="9">
        <f t="shared" si="15"/>
        <v>2034</v>
      </c>
      <c r="S57" s="9">
        <f t="shared" si="15"/>
        <v>2035</v>
      </c>
      <c r="T57" s="9">
        <f t="shared" si="15"/>
        <v>2036</v>
      </c>
      <c r="U57" s="9">
        <f t="shared" si="15"/>
        <v>2037</v>
      </c>
    </row>
    <row r="58" spans="1:23" hidden="1" x14ac:dyDescent="0.25">
      <c r="A58" s="4" t="s">
        <v>1</v>
      </c>
      <c r="B58" s="24">
        <v>39.299999999999997</v>
      </c>
      <c r="C58" s="24">
        <v>39.200000000000003</v>
      </c>
      <c r="D58" s="24">
        <v>39.1</v>
      </c>
      <c r="E58" s="24">
        <v>42.4</v>
      </c>
      <c r="F58" s="24">
        <v>45.7</v>
      </c>
      <c r="G58" s="24">
        <v>48.8</v>
      </c>
      <c r="H58" s="24">
        <v>51.7</v>
      </c>
      <c r="I58" s="15">
        <v>54.5</v>
      </c>
      <c r="J58" s="15">
        <v>57.2</v>
      </c>
      <c r="K58" s="15">
        <v>59.9</v>
      </c>
      <c r="L58" s="15">
        <v>62.4</v>
      </c>
      <c r="M58" s="15">
        <v>64.900000000000006</v>
      </c>
      <c r="N58" s="15">
        <v>67.3</v>
      </c>
      <c r="O58" s="15">
        <v>69.099999999999994</v>
      </c>
      <c r="P58" s="15">
        <v>70.8</v>
      </c>
      <c r="Q58" s="15">
        <v>72.400000000000006</v>
      </c>
      <c r="R58" s="15">
        <v>74</v>
      </c>
      <c r="S58" s="15">
        <v>75.5</v>
      </c>
      <c r="T58" s="15">
        <v>76.3</v>
      </c>
      <c r="U58" s="15">
        <v>77.099999999999994</v>
      </c>
    </row>
    <row r="59" spans="1:23" x14ac:dyDescent="0.25">
      <c r="B59" s="20"/>
      <c r="C59" s="20"/>
      <c r="D59" s="20"/>
      <c r="E59" s="20"/>
      <c r="F59" s="20"/>
      <c r="G59" s="20"/>
      <c r="H59" s="20"/>
    </row>
    <row r="60" spans="1:23" x14ac:dyDescent="0.25">
      <c r="B60" s="20"/>
      <c r="C60" s="20"/>
      <c r="D60" s="20"/>
      <c r="E60" s="20"/>
      <c r="F60" s="20"/>
      <c r="G60" s="20"/>
      <c r="H60" s="20"/>
    </row>
    <row r="61" spans="1:23" x14ac:dyDescent="0.25">
      <c r="B61" s="20"/>
      <c r="C61" s="20"/>
      <c r="D61" s="20"/>
      <c r="E61" s="20"/>
      <c r="F61" s="20"/>
      <c r="G61" s="20"/>
      <c r="H61" s="20"/>
    </row>
  </sheetData>
  <mergeCells count="6">
    <mergeCell ref="G8:I8"/>
    <mergeCell ref="G9:I9"/>
    <mergeCell ref="C3:F3"/>
    <mergeCell ref="G5:I5"/>
    <mergeCell ref="G6:I6"/>
    <mergeCell ref="G7:I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Emissioner</vt:lpstr>
      <vt:lpstr>Afgiftsprovenu</vt:lpstr>
      <vt:lpstr>Samfundsøkonomi</vt:lpstr>
      <vt:lpstr>Afgiftsprovenu!Udskriftsområde</vt:lpstr>
      <vt:lpstr>Emissioner!Udskriftsområde</vt:lpstr>
      <vt:lpstr>Samfundsøkonomi!Udskriftsområde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Andersen</dc:creator>
  <cp:lastModifiedBy>Niels</cp:lastModifiedBy>
  <cp:lastPrinted>2017-12-16T22:54:11Z</cp:lastPrinted>
  <dcterms:created xsi:type="dcterms:W3CDTF">2017-11-15T21:34:15Z</dcterms:created>
  <dcterms:modified xsi:type="dcterms:W3CDTF">2019-08-19T11:45:32Z</dcterms:modified>
</cp:coreProperties>
</file>